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Отдел 1 ПД\ПТП 2021-2027\5. Draft 2.1\За Изпращане\"/>
    </mc:Choice>
  </mc:AlternateContent>
  <bookViews>
    <workbookView xWindow="0" yWindow="0" windowWidth="28800" windowHeight="12300" tabRatio="572" activeTab="4"/>
  </bookViews>
  <sheets>
    <sheet name="Финансови бюджетни " sheetId="1" r:id="rId1"/>
    <sheet name="Финансов план на ПТП" sheetId="2" r:id="rId2"/>
    <sheet name="ОПНО_визия евро" sheetId="3" state="hidden" r:id="rId3"/>
    <sheet name="ПОКАЗАТЕЛИ ПТП " sheetId="4" r:id="rId4"/>
    <sheet name="Подробно разпределение " sheetId="5" r:id="rId5"/>
    <sheet name="Хоризонтално обучение " sheetId="6" r:id="rId6"/>
    <sheet name="работен" sheetId="7" state="hidden" r:id="rId7"/>
    <sheet name="П3_Наука_Инфраструктура" sheetId="8" state="hidden" r:id="rId8"/>
    <sheet name="П3_Наука Изследвания" sheetId="9" state="hidden" r:id="rId9"/>
    <sheet name="П3_Наука_Хоризонт" sheetId="10" state="hidden" r:id="rId10"/>
  </sheets>
  <externalReferences>
    <externalReference r:id="rId11"/>
  </externalReferences>
  <definedNames>
    <definedName name="_xlnm._FilterDatabase" localSheetId="3" hidden="1">'ПОКАЗАТЕЛИ ПТП '!$A$1:$M$72</definedName>
    <definedName name="_ftn1" localSheetId="3">'ПОКАЗАТЕЛИ ПТП '!#REF!</definedName>
    <definedName name="_ftnref1" localSheetId="1">'Финансов план на ПТП'!$A$24</definedName>
    <definedName name="_xlnm.Print_Area" localSheetId="2">'ОПНО_визия евро'!$A$1:$O$30</definedName>
    <definedName name="_xlnm.Print_Area" localSheetId="8">'П3_Наука Изследвания'!$A$1:$M$14</definedName>
    <definedName name="_xlnm.Print_Area" localSheetId="7">П3_Наука_Инфраструктура!$A$1:$L$16</definedName>
    <definedName name="_xlnm.Print_Area" localSheetId="9">П3_Наука_Хоризонт!$A$1:$M$18</definedName>
    <definedName name="_xlnm.Print_Area" localSheetId="3">'ПОКАЗАТЕЛИ ПТП '!$A$1:$M$82</definedName>
    <definedName name="_xlnm.Print_Area" localSheetId="1">'Финансов план на ПТП'!$A$2:$K$18</definedName>
    <definedName name="_xlnm.Print_Area" localSheetId="0">'Финансови бюджетни '!$A$4:$L$16</definedName>
    <definedName name="result.jsf?x_2_805" localSheetId="6">работен!#REF!</definedName>
    <definedName name="Z_008ABF53_164D_4C5B_BA98_868C9AB74E7A_.wvu.FilterData" localSheetId="3" hidden="1">'ПОКАЗАТЕЛИ ПТП '!$A$1:$M$72</definedName>
    <definedName name="Z_042EB648_82BC_4224_BE18_E23E37019127_.wvu.FilterData" localSheetId="3" hidden="1">'ПОКАЗАТЕЛИ ПТП '!$A$1:$M$72</definedName>
    <definedName name="Z_0B483FC7_B634_4102_9054_FF702DF2D16D_.wvu.FilterData" localSheetId="3" hidden="1">'ПОКАЗАТЕЛИ ПТП '!$A$1:$M$72</definedName>
    <definedName name="Z_0C97AF8D_7C80_4D3A_884E_0BB39D941EA8_.wvu.FilterData" localSheetId="3" hidden="1">'ПОКАЗАТЕЛИ ПТП '!$A$1:$M$72</definedName>
    <definedName name="Z_0CC29DAA_CB45_4ECC_AEC6_24DC9DBF66F4_.wvu.FilterData" localSheetId="3" hidden="1">'ПОКАЗАТЕЛИ ПТП '!$A$1:$M$72</definedName>
    <definedName name="Z_0F284C65_6180_4150_9970_738EE7A62FB9_.wvu.FilterData" localSheetId="3" hidden="1">'ПОКАЗАТЕЛИ ПТП '!$A$1:$F$59</definedName>
    <definedName name="Z_12034DF3_5272_494A_9232_51EF03EB9FD6_.wvu.FilterData" localSheetId="3" hidden="1">'ПОКАЗАТЕЛИ ПТП '!$A$1:$M$72</definedName>
    <definedName name="Z_13EBDE9D_EC74_4522_9EED_363E735B4A78_.wvu.Cols" localSheetId="9" hidden="1">П3_Наука_Хоризонт!$N:$O</definedName>
    <definedName name="Z_13EBDE9D_EC74_4522_9EED_363E735B4A78_.wvu.FilterData" localSheetId="3" hidden="1">'ПОКАЗАТЕЛИ ПТП '!$A$1:$M$72</definedName>
    <definedName name="Z_13EBDE9D_EC74_4522_9EED_363E735B4A78_.wvu.PrintArea" localSheetId="2" hidden="1">'ОПНО_визия евро'!$A$1:$O$30</definedName>
    <definedName name="Z_13EBDE9D_EC74_4522_9EED_363E735B4A78_.wvu.PrintArea" localSheetId="8" hidden="1">'П3_Наука Изследвания'!$A$1:$M$14</definedName>
    <definedName name="Z_13EBDE9D_EC74_4522_9EED_363E735B4A78_.wvu.PrintArea" localSheetId="7" hidden="1">П3_Наука_Инфраструктура!$A$1:$L$16</definedName>
    <definedName name="Z_13EBDE9D_EC74_4522_9EED_363E735B4A78_.wvu.PrintArea" localSheetId="9" hidden="1">П3_Наука_Хоризонт!$A$1:$M$18</definedName>
    <definedName name="Z_13EBDE9D_EC74_4522_9EED_363E735B4A78_.wvu.PrintArea" localSheetId="3" hidden="1">'ПОКАЗАТЕЛИ ПТП '!$A$1:$F$77</definedName>
    <definedName name="Z_13EBDE9D_EC74_4522_9EED_363E735B4A78_.wvu.PrintArea" localSheetId="1" hidden="1">'Финансов план на ПТП'!$A$2:$K$18</definedName>
    <definedName name="Z_13EBDE9D_EC74_4522_9EED_363E735B4A78_.wvu.PrintArea" localSheetId="0" hidden="1">'Финансови бюджетни '!$A$4:$L$16</definedName>
    <definedName name="Z_145F2F6D_8F9C_4454_A0C6_DC4412ADDAB8_.wvu.FilterData" localSheetId="3" hidden="1">'ПОКАЗАТЕЛИ ПТП '!$A$1:$M$72</definedName>
    <definedName name="Z_15037349_416B_47B2_A085_519110C7C71D_.wvu.FilterData" localSheetId="3" hidden="1">'ПОКАЗАТЕЛИ ПТП '!$A$1:$M$72</definedName>
    <definedName name="Z_15A0B67B_444A_4BE4_B884_AC45439F2049_.wvu.FilterData" localSheetId="3" hidden="1">'ПОКАЗАТЕЛИ ПТП '!$A$1:$M$72</definedName>
    <definedName name="Z_185D5A4C_202F_4232_A5A2_CC2DAAA668F2_.wvu.FilterData" localSheetId="3" hidden="1">'ПОКАЗАТЕЛИ ПТП '!$A$1:$M$72</definedName>
    <definedName name="Z_21066EB9_DD75_47B4_8A3E_94154F74F4CD_.wvu.FilterData" localSheetId="3" hidden="1">'ПОКАЗАТЕЛИ ПТП '!$A$1:$M$72</definedName>
    <definedName name="Z_261BF8DF_488A_4B87_9FD5_F26014C63E8B_.wvu.FilterData" localSheetId="3" hidden="1">'ПОКАЗАТЕЛИ ПТП '!$A$1:$M$72</definedName>
    <definedName name="Z_2A6315F5_C9A2_43A7_B337_00FD30A3EB26_.wvu.Cols" localSheetId="9" hidden="1">П3_Наука_Хоризонт!$N:$O</definedName>
    <definedName name="Z_2A6315F5_C9A2_43A7_B337_00FD30A3EB26_.wvu.FilterData" localSheetId="3" hidden="1">'ПОКАЗАТЕЛИ ПТП '!$A$1:$F$59</definedName>
    <definedName name="Z_2A6315F5_C9A2_43A7_B337_00FD30A3EB26_.wvu.PrintArea" localSheetId="2" hidden="1">'ОПНО_визия евро'!$A$1:$O$30</definedName>
    <definedName name="Z_2A6315F5_C9A2_43A7_B337_00FD30A3EB26_.wvu.PrintArea" localSheetId="8" hidden="1">'П3_Наука Изследвания'!$A$1:$M$14</definedName>
    <definedName name="Z_2A6315F5_C9A2_43A7_B337_00FD30A3EB26_.wvu.PrintArea" localSheetId="7" hidden="1">П3_Наука_Инфраструктура!$A$1:$L$16</definedName>
    <definedName name="Z_2A6315F5_C9A2_43A7_B337_00FD30A3EB26_.wvu.PrintArea" localSheetId="9" hidden="1">П3_Наука_Хоризонт!$A$1:$M$18</definedName>
    <definedName name="Z_2A6315F5_C9A2_43A7_B337_00FD30A3EB26_.wvu.PrintArea" localSheetId="3" hidden="1">'ПОКАЗАТЕЛИ ПТП '!$A$1:$F$77</definedName>
    <definedName name="Z_2A6315F5_C9A2_43A7_B337_00FD30A3EB26_.wvu.PrintArea" localSheetId="1" hidden="1">'Финансов план на ПТП'!$A$2:$K$18</definedName>
    <definedName name="Z_2A6315F5_C9A2_43A7_B337_00FD30A3EB26_.wvu.PrintArea" localSheetId="0" hidden="1">'Финансови бюджетни '!$A$4:$L$16</definedName>
    <definedName name="Z_2D89472C_6FA3_4F06_B286_03FBC9227214_.wvu.FilterData" localSheetId="3" hidden="1">'ПОКАЗАТЕЛИ ПТП '!$A$1:$M$72</definedName>
    <definedName name="Z_2E4D13C6_37F9_4995_96E1_27C1A960A6D4_.wvu.FilterData" localSheetId="3" hidden="1">'ПОКАЗАТЕЛИ ПТП '!$A$1:$M$72</definedName>
    <definedName name="Z_2FDFD1F9_CAA9_4788_BC6B_22023547642F_.wvu.FilterData" localSheetId="3" hidden="1">'ПОКАЗАТЕЛИ ПТП '!$A$1:$M$72</definedName>
    <definedName name="Z_32A281B9_28FB_4D0E_8C01_BFBADAC8C3C9_.wvu.Cols" localSheetId="9" hidden="1">П3_Наука_Хоризонт!$N:$O</definedName>
    <definedName name="Z_32A281B9_28FB_4D0E_8C01_BFBADAC8C3C9_.wvu.Cols" localSheetId="3" hidden="1">'ПОКАЗАТЕЛИ ПТП '!#REF!</definedName>
    <definedName name="Z_32A281B9_28FB_4D0E_8C01_BFBADAC8C3C9_.wvu.FilterData" localSheetId="3" hidden="1">'ПОКАЗАТЕЛИ ПТП '!$A$1:$M$72</definedName>
    <definedName name="Z_32A281B9_28FB_4D0E_8C01_BFBADAC8C3C9_.wvu.PrintArea" localSheetId="2" hidden="1">'ОПНО_визия евро'!$A$1:$O$30</definedName>
    <definedName name="Z_32A281B9_28FB_4D0E_8C01_BFBADAC8C3C9_.wvu.PrintArea" localSheetId="8" hidden="1">'П3_Наука Изследвания'!$A$1:$M$14</definedName>
    <definedName name="Z_32A281B9_28FB_4D0E_8C01_BFBADAC8C3C9_.wvu.PrintArea" localSheetId="7" hidden="1">П3_Наука_Инфраструктура!$A$1:$L$16</definedName>
    <definedName name="Z_32A281B9_28FB_4D0E_8C01_BFBADAC8C3C9_.wvu.PrintArea" localSheetId="9" hidden="1">П3_Наука_Хоризонт!$A$1:$M$18</definedName>
    <definedName name="Z_32A281B9_28FB_4D0E_8C01_BFBADAC8C3C9_.wvu.PrintArea" localSheetId="3" hidden="1">'ПОКАЗАТЕЛИ ПТП '!$A$1:$F$77</definedName>
    <definedName name="Z_32A281B9_28FB_4D0E_8C01_BFBADAC8C3C9_.wvu.PrintArea" localSheetId="1" hidden="1">'Финансов план на ПТП'!$A$2:$K$18</definedName>
    <definedName name="Z_32A281B9_28FB_4D0E_8C01_BFBADAC8C3C9_.wvu.PrintArea" localSheetId="0" hidden="1">'Финансови бюджетни '!$A$4:$L$16</definedName>
    <definedName name="Z_33934842_EF95_4E88_877F_758AD2A4D4D0_.wvu.FilterData" localSheetId="3" hidden="1">'ПОКАЗАТЕЛИ ПТП '!$A$1:$M$72</definedName>
    <definedName name="Z_38511207_ABF2_41F4_A20A_B7A537CE4931_.wvu.FilterData" localSheetId="3" hidden="1">'ПОКАЗАТЕЛИ ПТП '!$A$1:$M$72</definedName>
    <definedName name="Z_3A6DB9D9_5330_452D_8F5E_7E32B3EA3555_.wvu.FilterData" localSheetId="3" hidden="1">'ПОКАЗАТЕЛИ ПТП '!$A$1:$M$72</definedName>
    <definedName name="Z_44C2A125_6E47_4224_AD84_727CF0E61F69_.wvu.FilterData" localSheetId="3" hidden="1">'ПОКАЗАТЕЛИ ПТП '!$A$1:$M$72</definedName>
    <definedName name="Z_44ED0E52_D049_4834_BFF1_52C0F93E789F_.wvu.FilterData" localSheetId="3" hidden="1">'ПОКАЗАТЕЛИ ПТП '!$A$1:$M$72</definedName>
    <definedName name="Z_450731DB_4BF9_4C9E_BDB4_C26D40562C68_.wvu.FilterData" localSheetId="3" hidden="1">'ПОКАЗАТЕЛИ ПТП '!$A$1:$M$72</definedName>
    <definedName name="Z_46A1F39A_22E7_4B48_903F_3893C818F1C6_.wvu.FilterData" localSheetId="3" hidden="1">'ПОКАЗАТЕЛИ ПТП '!$A$1:$M$72</definedName>
    <definedName name="Z_478865FB_599C_4C08_B032_427D6B351E57_.wvu.FilterData" localSheetId="3" hidden="1">'ПОКАЗАТЕЛИ ПТП '!$A$1:$F$59</definedName>
    <definedName name="Z_4C25F96D_2B28_4301_92A1_E2682EC0223B_.wvu.FilterData" localSheetId="3" hidden="1">'ПОКАЗАТЕЛИ ПТП '!$A$1:$F$59</definedName>
    <definedName name="Z_508EDACC_2A92_47E6_91D4_24FD126F7EE3_.wvu.FilterData" localSheetId="3" hidden="1">'ПОКАЗАТЕЛИ ПТП '!$A$1:$M$72</definedName>
    <definedName name="Z_539634CF_44A3_4428_8D5D_280293A38ACF_.wvu.FilterData" localSheetId="3" hidden="1">'ПОКАЗАТЕЛИ ПТП '!$A$1:$M$72</definedName>
    <definedName name="Z_53A95ABA_92F3_4325_87CC_0C68A48FAF1F_.wvu.FilterData" localSheetId="3" hidden="1">'ПОКАЗАТЕЛИ ПТП '!$A$1:$M$72</definedName>
    <definedName name="Z_56BC42A3_D967_4F27_BD5A_CB0B8CB7F657_.wvu.Cols" localSheetId="9" hidden="1">П3_Наука_Хоризонт!$N:$O</definedName>
    <definedName name="Z_56BC42A3_D967_4F27_BD5A_CB0B8CB7F657_.wvu.FilterData" localSheetId="3" hidden="1">'ПОКАЗАТЕЛИ ПТП '!$A$1:$M$72</definedName>
    <definedName name="Z_56BC42A3_D967_4F27_BD5A_CB0B8CB7F657_.wvu.PrintArea" localSheetId="2" hidden="1">'ОПНО_визия евро'!$A$1:$O$30</definedName>
    <definedName name="Z_56BC42A3_D967_4F27_BD5A_CB0B8CB7F657_.wvu.PrintArea" localSheetId="8" hidden="1">'П3_Наука Изследвания'!$A$1:$M$14</definedName>
    <definedName name="Z_56BC42A3_D967_4F27_BD5A_CB0B8CB7F657_.wvu.PrintArea" localSheetId="7" hidden="1">П3_Наука_Инфраструктура!$A$1:$L$16</definedName>
    <definedName name="Z_56BC42A3_D967_4F27_BD5A_CB0B8CB7F657_.wvu.PrintArea" localSheetId="9" hidden="1">П3_Наука_Хоризонт!$A$1:$M$18</definedName>
    <definedName name="Z_56BC42A3_D967_4F27_BD5A_CB0B8CB7F657_.wvu.PrintArea" localSheetId="3" hidden="1">'ПОКАЗАТЕЛИ ПТП '!$A$1:$F$77</definedName>
    <definedName name="Z_56BC42A3_D967_4F27_BD5A_CB0B8CB7F657_.wvu.PrintArea" localSheetId="1" hidden="1">'Финансов план на ПТП'!$A$2:$K$18</definedName>
    <definedName name="Z_56BC42A3_D967_4F27_BD5A_CB0B8CB7F657_.wvu.PrintArea" localSheetId="0" hidden="1">'Финансови бюджетни '!$A$4:$L$16</definedName>
    <definedName name="Z_594063B7_0116_4985_9B71_4712FA8932F2_.wvu.FilterData" localSheetId="3" hidden="1">'ПОКАЗАТЕЛИ ПТП '!$A$1:$M$72</definedName>
    <definedName name="Z_59556E99_6985_48CB_9B1C_3F9D4BC561CE_.wvu.FilterData" localSheetId="3" hidden="1">'ПОКАЗАТЕЛИ ПТП '!$A$1:$F$59</definedName>
    <definedName name="Z_59C92782_F552_4F83_88F2_58AD0899CA3F_.wvu.FilterData" localSheetId="3" hidden="1">'ПОКАЗАТЕЛИ ПТП '!$A$1:$F$59</definedName>
    <definedName name="Z_5F3C4B6F_44D6_43BD_BE64_BC56B66D339E_.wvu.FilterData" localSheetId="3" hidden="1">'ПОКАЗАТЕЛИ ПТП '!$A$1:$M$72</definedName>
    <definedName name="Z_60392FDC_0979_4005_8F6B_4B6A89DCED03_.wvu.FilterData" localSheetId="3" hidden="1">'ПОКАЗАТЕЛИ ПТП '!$A$1:$M$72</definedName>
    <definedName name="Z_60786D3F_F644_47DC_B85B_1DC39C92BC6A_.wvu.FilterData" localSheetId="3" hidden="1">'ПОКАЗАТЕЛИ ПТП '!$A$1:$M$72</definedName>
    <definedName name="Z_60ABE2B3_B68E_4D05_9061_183F6B2424F3_.wvu.FilterData" localSheetId="3" hidden="1">'ПОКАЗАТЕЛИ ПТП '!$A$1:$M$72</definedName>
    <definedName name="Z_616E1976_58DE_4466_8922_C10B7D674852_.wvu.FilterData" localSheetId="3" hidden="1">'ПОКАЗАТЕЛИ ПТП '!$A$1:$M$72</definedName>
    <definedName name="Z_688CB038_F282_4990_A834_4AD321619C8C_.wvu.FilterData" localSheetId="3" hidden="1">'ПОКАЗАТЕЛИ ПТП '!$A$1:$M$72</definedName>
    <definedName name="Z_6DE7F3B1_A2A5_4DF3_AB28_CEC05645DF79_.wvu.FilterData" localSheetId="3" hidden="1">'ПОКАЗАТЕЛИ ПТП '!$A$1:$M$72</definedName>
    <definedName name="Z_706ED943_D14E_4B19_B1BF_18F11D303E32_.wvu.FilterData" localSheetId="3" hidden="1">'ПОКАЗАТЕЛИ ПТП '!$A$1:$M$72</definedName>
    <definedName name="Z_77799D3C_38E2_410A_80FA_AECD8E6AB89B_.wvu.Cols" localSheetId="9" hidden="1">П3_Наука_Хоризонт!$N:$O</definedName>
    <definedName name="Z_77799D3C_38E2_410A_80FA_AECD8E6AB89B_.wvu.FilterData" localSheetId="3" hidden="1">'ПОКАЗАТЕЛИ ПТП '!$A$1:$M$72</definedName>
    <definedName name="Z_77799D3C_38E2_410A_80FA_AECD8E6AB89B_.wvu.PrintArea" localSheetId="2" hidden="1">'ОПНО_визия евро'!$A$1:$O$30</definedName>
    <definedName name="Z_77799D3C_38E2_410A_80FA_AECD8E6AB89B_.wvu.PrintArea" localSheetId="8" hidden="1">'П3_Наука Изследвания'!$A$1:$M$14</definedName>
    <definedName name="Z_77799D3C_38E2_410A_80FA_AECD8E6AB89B_.wvu.PrintArea" localSheetId="7" hidden="1">П3_Наука_Инфраструктура!$A$1:$L$16</definedName>
    <definedName name="Z_77799D3C_38E2_410A_80FA_AECD8E6AB89B_.wvu.PrintArea" localSheetId="9" hidden="1">П3_Наука_Хоризонт!$A$1:$M$18</definedName>
    <definedName name="Z_77799D3C_38E2_410A_80FA_AECD8E6AB89B_.wvu.PrintArea" localSheetId="3" hidden="1">'ПОКАЗАТЕЛИ ПТП '!$A$1:$F$77</definedName>
    <definedName name="Z_77799D3C_38E2_410A_80FA_AECD8E6AB89B_.wvu.PrintArea" localSheetId="1" hidden="1">'Финансов план на ПТП'!$A$2:$K$18</definedName>
    <definedName name="Z_77799D3C_38E2_410A_80FA_AECD8E6AB89B_.wvu.PrintArea" localSheetId="0" hidden="1">'Финансови бюджетни '!$A$4:$L$16</definedName>
    <definedName name="Z_789DF1D1_5B2F_4DBB_A27D_7F65A344A4B0_.wvu.FilterData" localSheetId="3" hidden="1">'ПОКАЗАТЕЛИ ПТП '!$A$1:$M$72</definedName>
    <definedName name="Z_78C4BE07_3D6D_48FF_829A_93E03342FDC1_.wvu.FilterData" localSheetId="3" hidden="1">'ПОКАЗАТЕЛИ ПТП '!$A$1:$M$72</definedName>
    <definedName name="Z_7AFACEE3_4130_438F_9B62_F00738166982_.wvu.FilterData" localSheetId="3" hidden="1">'ПОКАЗАТЕЛИ ПТП '!$A$1:$M$72</definedName>
    <definedName name="Z_7BC33F16_0A52_48FA_9587_E7C66DF4A2C2_.wvu.FilterData" localSheetId="3" hidden="1">'ПОКАЗАТЕЛИ ПТП '!$A$1:$M$72</definedName>
    <definedName name="Z_7C398563_66C1_4EF6_BC12_42FA6233B0B8_.wvu.FilterData" localSheetId="3" hidden="1">'ПОКАЗАТЕЛИ ПТП '!$A$1:$M$72</definedName>
    <definedName name="Z_7F2EA1C4_55AA_4612_84FA_501681582C12_.wvu.FilterData" localSheetId="3" hidden="1">'ПОКАЗАТЕЛИ ПТП '!$A$1:$M$72</definedName>
    <definedName name="Z_84A71B46_60CD_407A_89F3_857B06992E7A_.wvu.FilterData" localSheetId="3" hidden="1">'ПОКАЗАТЕЛИ ПТП '!$A$1:$M$72</definedName>
    <definedName name="Z_865CDE92_7D88_495D_90A0_9A0951E8EE5B_.wvu.FilterData" localSheetId="3" hidden="1">'ПОКАЗАТЕЛИ ПТП '!$A$1:$M$72</definedName>
    <definedName name="Z_872D2DA5_7BEF_480F_BD4A_211DAFB5A8E3_.wvu.FilterData" localSheetId="3" hidden="1">'ПОКАЗАТЕЛИ ПТП '!$A$1:$M$72</definedName>
    <definedName name="Z_878BA027_57A8_44BE_B4C6_7E97B44F94A2_.wvu.FilterData" localSheetId="3" hidden="1">'ПОКАЗАТЕЛИ ПТП '!$A$1:$M$72</definedName>
    <definedName name="Z_88974E4A_2D2B_42DC_8EA2_54A59A77B0D5_.wvu.FilterData" localSheetId="3" hidden="1">'ПОКАЗАТЕЛИ ПТП '!$A$1:$M$72</definedName>
    <definedName name="Z_8AB8B59D_AA09_4081_BE27_99D08A07BA31_.wvu.FilterData" localSheetId="3" hidden="1">'ПОКАЗАТЕЛИ ПТП '!$A$1:$M$72</definedName>
    <definedName name="Z_8B6D65BC_AB77_4F9F_BB5E_C848F5C1D363_.wvu.FilterData" localSheetId="3" hidden="1">'ПОКАЗАТЕЛИ ПТП '!$A$1:$M$72</definedName>
    <definedName name="Z_8F340EDE_FB25_4830_AA64_0CB34D06C1E0_.wvu.FilterData" localSheetId="3" hidden="1">'ПОКАЗАТЕЛИ ПТП '!$A$1:$M$72</definedName>
    <definedName name="Z_9180A044_BC68_4F4E_8E32_4F4879630C5D_.wvu.FilterData" localSheetId="3" hidden="1">'ПОКАЗАТЕЛИ ПТП '!$A$1:$M$72</definedName>
    <definedName name="Z_91AF3DAF_3A21_4047_95E4_323BC50341B9_.wvu.FilterData" localSheetId="3" hidden="1">'ПОКАЗАТЕЛИ ПТП '!$A$1:$M$72</definedName>
    <definedName name="Z_967C2AF1_5EDF_4EFB_9B6E_F068F0A377ED_.wvu.FilterData" localSheetId="3" hidden="1">'ПОКАЗАТЕЛИ ПТП '!$A$1:$M$72</definedName>
    <definedName name="Z_97473967_553B_4F9C_B199_B080F6D50764_.wvu.FilterData" localSheetId="3" hidden="1">'ПОКАЗАТЕЛИ ПТП '!$A$2:$F$45</definedName>
    <definedName name="Z_98583CFF_58DC_4FB4_88DF_28748AEF91F6_.wvu.FilterData" localSheetId="3" hidden="1">'ПОКАЗАТЕЛИ ПТП '!$A$1:$M$72</definedName>
    <definedName name="Z_9CB77FEE_E4A3_4A18_85E7_45FCDC188FE9_.wvu.FilterData" localSheetId="3" hidden="1">'ПОКАЗАТЕЛИ ПТП '!$A$1:$M$72</definedName>
    <definedName name="Z_9CD5F6CE_0E1C_42DA_A598_93523B740CBC_.wvu.Cols" localSheetId="9" hidden="1">П3_Наука_Хоризонт!$N:$O</definedName>
    <definedName name="Z_9CD5F6CE_0E1C_42DA_A598_93523B740CBC_.wvu.FilterData" localSheetId="3" hidden="1">'ПОКАЗАТЕЛИ ПТП '!$A$2:$F$45</definedName>
    <definedName name="Z_9CD5F6CE_0E1C_42DA_A598_93523B740CBC_.wvu.PrintArea" localSheetId="2" hidden="1">'ОПНО_визия евро'!$A$1:$O$30</definedName>
    <definedName name="Z_9CD5F6CE_0E1C_42DA_A598_93523B740CBC_.wvu.PrintArea" localSheetId="8" hidden="1">'П3_Наука Изследвания'!$A$1:$M$14</definedName>
    <definedName name="Z_9CD5F6CE_0E1C_42DA_A598_93523B740CBC_.wvu.PrintArea" localSheetId="7" hidden="1">П3_Наука_Инфраструктура!$A$1:$L$16</definedName>
    <definedName name="Z_9CD5F6CE_0E1C_42DA_A598_93523B740CBC_.wvu.PrintArea" localSheetId="9" hidden="1">П3_Наука_Хоризонт!$A$1:$M$18</definedName>
    <definedName name="Z_9CD5F6CE_0E1C_42DA_A598_93523B740CBC_.wvu.PrintArea" localSheetId="1" hidden="1">'Финансов план на ПТП'!$A$2:$K$18</definedName>
    <definedName name="Z_9CD5F6CE_0E1C_42DA_A598_93523B740CBC_.wvu.PrintArea" localSheetId="0" hidden="1">'Финансови бюджетни '!$A$4:$L$16</definedName>
    <definedName name="Z_A47A44D7_E2B5_46C7_A48C_49088F2604E0_.wvu.FilterData" localSheetId="3" hidden="1">'ПОКАЗАТЕЛИ ПТП '!$A$1:$M$72</definedName>
    <definedName name="Z_A5E45A22_7E45_4C8C_90B4_681EA05978BA_.wvu.FilterData" localSheetId="3" hidden="1">'ПОКАЗАТЕЛИ ПТП '!$A$1:$M$72</definedName>
    <definedName name="Z_A92C6647_AB29_4B6A_AC26_5A7AE5C58888_.wvu.FilterData" localSheetId="3" hidden="1">'ПОКАЗАТЕЛИ ПТП '!$A$1:$M$72</definedName>
    <definedName name="Z_A9E76DC5_461B_4C57_B245_F038800639FE_.wvu.FilterData" localSheetId="3" hidden="1">'ПОКАЗАТЕЛИ ПТП '!$A$1:$M$72</definedName>
    <definedName name="Z_AB278974_DE54_492A_9691_AEB99B62A374_.wvu.FilterData" localSheetId="3" hidden="1">'ПОКАЗАТЕЛИ ПТП '!$A$1:$M$72</definedName>
    <definedName name="Z_AD504361_49F3_4986_BDBF_FB73E2299976_.wvu.Cols" localSheetId="9" hidden="1">П3_Наука_Хоризонт!$N:$O</definedName>
    <definedName name="Z_AD504361_49F3_4986_BDBF_FB73E2299976_.wvu.FilterData" localSheetId="3" hidden="1">'ПОКАЗАТЕЛИ ПТП '!$A$1:$M$72</definedName>
    <definedName name="Z_AD504361_49F3_4986_BDBF_FB73E2299976_.wvu.PrintArea" localSheetId="2" hidden="1">'ОПНО_визия евро'!$A$1:$O$30</definedName>
    <definedName name="Z_AD504361_49F3_4986_BDBF_FB73E2299976_.wvu.PrintArea" localSheetId="8" hidden="1">'П3_Наука Изследвания'!$A$1:$M$14</definedName>
    <definedName name="Z_AD504361_49F3_4986_BDBF_FB73E2299976_.wvu.PrintArea" localSheetId="7" hidden="1">П3_Наука_Инфраструктура!$A$1:$L$16</definedName>
    <definedName name="Z_AD504361_49F3_4986_BDBF_FB73E2299976_.wvu.PrintArea" localSheetId="9" hidden="1">П3_Наука_Хоризонт!$A$1:$M$18</definedName>
    <definedName name="Z_AD504361_49F3_4986_BDBF_FB73E2299976_.wvu.PrintArea" localSheetId="3" hidden="1">'ПОКАЗАТЕЛИ ПТП '!$A$1:$F$77</definedName>
    <definedName name="Z_AD504361_49F3_4986_BDBF_FB73E2299976_.wvu.PrintArea" localSheetId="1" hidden="1">'Финансов план на ПТП'!$A$2:$K$18</definedName>
    <definedName name="Z_AD504361_49F3_4986_BDBF_FB73E2299976_.wvu.PrintArea" localSheetId="0" hidden="1">'Финансови бюджетни '!$A$4:$L$16</definedName>
    <definedName name="Z_ADE2AED5_CCF6_4A00_B664_C2C49B9BEF5C_.wvu.FilterData" localSheetId="3" hidden="1">'ПОКАЗАТЕЛИ ПТП '!$A$1:$M$72</definedName>
    <definedName name="Z_AFB558D7_B68D_403E_9CDE_53616F2B37D7_.wvu.FilterData" localSheetId="3" hidden="1">'ПОКАЗАТЕЛИ ПТП '!$A$1:$M$72</definedName>
    <definedName name="Z_B1A1AEA2_F407_4A00_872D_F8AA3FCCAB28_.wvu.FilterData" localSheetId="3" hidden="1">'ПОКАЗАТЕЛИ ПТП '!$A$1:$M$72</definedName>
    <definedName name="Z_B2580134_98E8_447F_87D8_04F8DB5252C2_.wvu.FilterData" localSheetId="3" hidden="1">'ПОКАЗАТЕЛИ ПТП '!$A$2:$F$45</definedName>
    <definedName name="Z_B3762A0B_85CA_444A_8DD2_564EE243944D_.wvu.FilterData" localSheetId="3" hidden="1">'ПОКАЗАТЕЛИ ПТП '!$A$1:$M$72</definedName>
    <definedName name="Z_B426F9F8_EB1A_4D7B_9478_7E22D414CC12_.wvu.Cols" localSheetId="9" hidden="1">П3_Наука_Хоризонт!$N:$O</definedName>
    <definedName name="Z_B426F9F8_EB1A_4D7B_9478_7E22D414CC12_.wvu.Cols" localSheetId="3" hidden="1">'ПОКАЗАТЕЛИ ПТП '!$B:$D</definedName>
    <definedName name="Z_B426F9F8_EB1A_4D7B_9478_7E22D414CC12_.wvu.FilterData" localSheetId="3" hidden="1">'ПОКАЗАТЕЛИ ПТП '!$A$1:$M$72</definedName>
    <definedName name="Z_B426F9F8_EB1A_4D7B_9478_7E22D414CC12_.wvu.PrintArea" localSheetId="2" hidden="1">'ОПНО_визия евро'!$A$1:$O$30</definedName>
    <definedName name="Z_B426F9F8_EB1A_4D7B_9478_7E22D414CC12_.wvu.PrintArea" localSheetId="8" hidden="1">'П3_Наука Изследвания'!$A$1:$M$14</definedName>
    <definedName name="Z_B426F9F8_EB1A_4D7B_9478_7E22D414CC12_.wvu.PrintArea" localSheetId="7" hidden="1">П3_Наука_Инфраструктура!$A$1:$L$16</definedName>
    <definedName name="Z_B426F9F8_EB1A_4D7B_9478_7E22D414CC12_.wvu.PrintArea" localSheetId="9" hidden="1">П3_Наука_Хоризонт!$A$1:$M$18</definedName>
    <definedName name="Z_B426F9F8_EB1A_4D7B_9478_7E22D414CC12_.wvu.PrintArea" localSheetId="3" hidden="1">'ПОКАЗАТЕЛИ ПТП '!$A$1:$F$77</definedName>
    <definedName name="Z_B426F9F8_EB1A_4D7B_9478_7E22D414CC12_.wvu.PrintArea" localSheetId="1" hidden="1">'Финансов план на ПТП'!$A$2:$K$18</definedName>
    <definedName name="Z_B426F9F8_EB1A_4D7B_9478_7E22D414CC12_.wvu.PrintArea" localSheetId="0" hidden="1">'Финансови бюджетни '!$A$4:$L$16</definedName>
    <definedName name="Z_B5DDA91F_EC18_4D67_A347_1883CDE2FFF4_.wvu.FilterData" localSheetId="3" hidden="1">'ПОКАЗАТЕЛИ ПТП '!$A$1:$M$72</definedName>
    <definedName name="Z_BA49FD0F_AB35_48A1_AD22_91FD674A6FB2_.wvu.FilterData" localSheetId="3" hidden="1">'ПОКАЗАТЕЛИ ПТП '!$A$1:$M$72</definedName>
    <definedName name="Z_C045550C_87F3_453F_B207_735FDF4C6AEC_.wvu.FilterData" localSheetId="3" hidden="1">'ПОКАЗАТЕЛИ ПТП '!$A$1:$M$72</definedName>
    <definedName name="Z_C2AD75A7_2631_4E7D_942F_B2AB060AAA09_.wvu.FilterData" localSheetId="3" hidden="1">'ПОКАЗАТЕЛИ ПТП '!$A$1:$M$72</definedName>
    <definedName name="Z_C6DB5879_32A9_403F_864A_4BAA95BB7747_.wvu.FilterData" localSheetId="3" hidden="1">'ПОКАЗАТЕЛИ ПТП '!$A$1:$M$72</definedName>
    <definedName name="Z_C6F190A0_1065_4334_BB3D_A201C52D19BC_.wvu.FilterData" localSheetId="3" hidden="1">'ПОКАЗАТЕЛИ ПТП '!$A$1:$M$72</definedName>
    <definedName name="Z_CD0DA7C6_AE0D_4D8C_8DEC_9E1E1BD6C5A7_.wvu.FilterData" localSheetId="3" hidden="1">'ПОКАЗАТЕЛИ ПТП '!$A$1:$M$72</definedName>
    <definedName name="Z_CDFE6D91_C19B_4A37_8497_E1930B99F06E_.wvu.FilterData" localSheetId="3" hidden="1">'ПОКАЗАТЕЛИ ПТП '!$A$1:$M$72</definedName>
    <definedName name="Z_CE577872_512D_4445_82A3_E45C406A456B_.wvu.FilterData" localSheetId="3" hidden="1">'ПОКАЗАТЕЛИ ПТП '!$A$1:$M$72</definedName>
    <definedName name="Z_D1BD168D_40B4_46AB_88B7_64C22520CFA0_.wvu.Cols" localSheetId="9" hidden="1">П3_Наука_Хоризонт!$N:$O</definedName>
    <definedName name="Z_D1BD168D_40B4_46AB_88B7_64C22520CFA0_.wvu.FilterData" localSheetId="3" hidden="1">'ПОКАЗАТЕЛИ ПТП '!$A$1:$M$72</definedName>
    <definedName name="Z_D1BD168D_40B4_46AB_88B7_64C22520CFA0_.wvu.PrintArea" localSheetId="2" hidden="1">'ОПНО_визия евро'!$A$1:$O$30</definedName>
    <definedName name="Z_D1BD168D_40B4_46AB_88B7_64C22520CFA0_.wvu.PrintArea" localSheetId="8" hidden="1">'П3_Наука Изследвания'!$A$1:$M$14</definedName>
    <definedName name="Z_D1BD168D_40B4_46AB_88B7_64C22520CFA0_.wvu.PrintArea" localSheetId="7" hidden="1">П3_Наука_Инфраструктура!$A$1:$L$16</definedName>
    <definedName name="Z_D1BD168D_40B4_46AB_88B7_64C22520CFA0_.wvu.PrintArea" localSheetId="9" hidden="1">П3_Наука_Хоризонт!$A$1:$M$18</definedName>
    <definedName name="Z_D1BD168D_40B4_46AB_88B7_64C22520CFA0_.wvu.PrintArea" localSheetId="3" hidden="1">'ПОКАЗАТЕЛИ ПТП '!$A$1:$F$77</definedName>
    <definedName name="Z_D1BD168D_40B4_46AB_88B7_64C22520CFA0_.wvu.PrintArea" localSheetId="1" hidden="1">'Финансов план на ПТП'!$A$2:$K$18</definedName>
    <definedName name="Z_D1BD168D_40B4_46AB_88B7_64C22520CFA0_.wvu.PrintArea" localSheetId="0" hidden="1">'Финансови бюджетни '!$A$4:$L$16</definedName>
    <definedName name="Z_D55A2AC3_0B6C_43D7_B147_934C8D1C734D_.wvu.FilterData" localSheetId="3" hidden="1">'ПОКАЗАТЕЛИ ПТП '!$A$1:$M$72</definedName>
    <definedName name="Z_D9DEA245_E231_4080_A4D0_FA9FB96DEAC7_.wvu.FilterData" localSheetId="3" hidden="1">'ПОКАЗАТЕЛИ ПТП '!$A$1:$M$72</definedName>
    <definedName name="Z_DBD059FC_E21C_4532_B008_88F77AB2724E_.wvu.FilterData" localSheetId="3" hidden="1">'ПОКАЗАТЕЛИ ПТП '!$A$1:$M$72</definedName>
    <definedName name="Z_DCE53AB0_D536_4F68_9C51_8F24A0125ED3_.wvu.FilterData" localSheetId="3" hidden="1">'ПОКАЗАТЕЛИ ПТП '!$A$1:$F$59</definedName>
    <definedName name="Z_DF2C4FDE_E1F5_4237_AAD0_8EC7F5D509D3_.wvu.FilterData" localSheetId="3" hidden="1">'ПОКАЗАТЕЛИ ПТП '!$A$1:$M$72</definedName>
    <definedName name="Z_DFC16DFA_D513_4368_8B92_9E363A26CBAC_.wvu.FilterData" localSheetId="3" hidden="1">'ПОКАЗАТЕЛИ ПТП '!$A$1:$F$59</definedName>
    <definedName name="Z_E07B67F4_8A17_4050_B9B8_81977BCB02E2_.wvu.Cols" localSheetId="9" hidden="1">П3_Наука_Хоризонт!$N:$O</definedName>
    <definedName name="Z_E07B67F4_8A17_4050_B9B8_81977BCB02E2_.wvu.Cols" localSheetId="3" hidden="1">'ПОКАЗАТЕЛИ ПТП '!#REF!</definedName>
    <definedName name="Z_E07B67F4_8A17_4050_B9B8_81977BCB02E2_.wvu.FilterData" localSheetId="3" hidden="1">'ПОКАЗАТЕЛИ ПТП '!$A$2:$F$45</definedName>
    <definedName name="Z_E07B67F4_8A17_4050_B9B8_81977BCB02E2_.wvu.PrintArea" localSheetId="2" hidden="1">'ОПНО_визия евро'!$A$1:$O$30</definedName>
    <definedName name="Z_E07B67F4_8A17_4050_B9B8_81977BCB02E2_.wvu.PrintArea" localSheetId="8" hidden="1">'П3_Наука Изследвания'!$A$1:$M$14</definedName>
    <definedName name="Z_E07B67F4_8A17_4050_B9B8_81977BCB02E2_.wvu.PrintArea" localSheetId="7" hidden="1">П3_Наука_Инфраструктура!$A$1:$L$16</definedName>
    <definedName name="Z_E07B67F4_8A17_4050_B9B8_81977BCB02E2_.wvu.PrintArea" localSheetId="9" hidden="1">П3_Наука_Хоризонт!$A$1:$M$18</definedName>
    <definedName name="Z_E07B67F4_8A17_4050_B9B8_81977BCB02E2_.wvu.PrintArea" localSheetId="3" hidden="1">'ПОКАЗАТЕЛИ ПТП '!$A$1:$F$21</definedName>
    <definedName name="Z_E07B67F4_8A17_4050_B9B8_81977BCB02E2_.wvu.PrintArea" localSheetId="1" hidden="1">'Финансов план на ПТП'!$A$2:$K$18</definedName>
    <definedName name="Z_E07B67F4_8A17_4050_B9B8_81977BCB02E2_.wvu.PrintArea" localSheetId="0" hidden="1">'Финансови бюджетни '!$A$4:$L$16</definedName>
    <definedName name="Z_ECC2290F_3EDB_4B87_95E7_39D418B19680_.wvu.FilterData" localSheetId="3" hidden="1">'ПОКАЗАТЕЛИ ПТП '!$A$1:$M$72</definedName>
    <definedName name="Z_EF25795A_3B6F_4507_92B9_EAF5B0884E9E_.wvu.FilterData" localSheetId="3" hidden="1">'ПОКАЗАТЕЛИ ПТП '!$A$1:$M$72</definedName>
    <definedName name="Z_F055BC8A_093D_41C6_B580_0ABA34413A59_.wvu.FilterData" localSheetId="3" hidden="1">'ПОКАЗАТЕЛИ ПТП '!$A$1:$M$72</definedName>
    <definedName name="Z_F296FD54_9E2C_49C0_807F_4D606DDA42BB_.wvu.FilterData" localSheetId="3" hidden="1">'ПОКАЗАТЕЛИ ПТП '!$A$1:$M$72</definedName>
    <definedName name="Z_F51B41C0_1BD7_44BF_8205_E6650A4106D4_.wvu.FilterData" localSheetId="3" hidden="1">'ПОКАЗАТЕЛИ ПТП '!$A$1:$M$72</definedName>
    <definedName name="Z_F5FEA9DB_91E2_48FB_899C_702683241BF8_.wvu.FilterData" localSheetId="3" hidden="1">'ПОКАЗАТЕЛИ ПТП '!$A$1:$M$72</definedName>
    <definedName name="Z_FBD83DB1_7D23_442D_AAFC_8EB3C39CCE98_.wvu.FilterData" localSheetId="3" hidden="1">'ПОКАЗАТЕЛИ ПТП '!$A$1:$M$72</definedName>
    <definedName name="Z_FE2955C0_88F2_4786_82CB_7C3712BA1FAE_.wvu.FilterData" localSheetId="3" hidden="1">'ПОКАЗАТЕЛИ ПТП '!$A$1:$M$72</definedName>
    <definedName name="Z_FF056BCE_8DD2_46C8_9A5C_CA39174333D6_.wvu.FilterData" localSheetId="3" hidden="1">'ПОКАЗАТЕЛИ ПТП '!$A$1:$M$72</definedName>
  </definedNames>
  <calcPr calcId="162913"/>
  <customWorkbookViews>
    <customWorkbookView name="Managing Authority  - Personal View" guid="{D1BD168D-40B4-46AB-88B7-64C22520CFA0}" mergeInterval="0" personalView="1" maximized="1" xWindow="-8" yWindow="-8" windowWidth="1936" windowHeight="1056" tabRatio="782" activeSheetId="2"/>
    <customWorkbookView name="Цветелина Соракова - Personal View" guid="{AD504361-49F3-4986-BDBF-FB73E2299976}" mergeInterval="0" personalView="1" maximized="1" xWindow="-9" yWindow="-9" windowWidth="1938" windowHeight="1048" tabRatio="782" activeSheetId="2"/>
    <customWorkbookView name="Атанас Атанасов - Personal View" guid="{B426F9F8-EB1A-4D7B-9478-7E22D414CC12}" mergeInterval="0" personalView="1" maximized="1" xWindow="-8" yWindow="-8" windowWidth="1936" windowHeight="1056" tabRatio="782" activeSheetId="5"/>
    <customWorkbookView name="Мария  Христова - Personal View" guid="{56BC42A3-D967-4F27-BD5A-CB0B8CB7F657}" mergeInterval="0" personalView="1" maximized="1" xWindow="-8" yWindow="-8" windowWidth="1936" windowHeight="1056" tabRatio="782" activeSheetId="4"/>
    <customWorkbookView name="Managing Authority - Personal View" guid="{2A6315F5-C9A2-43A7-B337-00FD30A3EB26}" mergeInterval="0" personalView="1" maximized="1" xWindow="-8" yWindow="-8" windowWidth="1936" windowHeight="1056" tabRatio="782" activeSheetId="4"/>
    <customWorkbookView name="Даниела Николов - Personal View" guid="{E07B67F4-8A17-4050-B9B8-81977BCB02E2}" mergeInterval="0" personalView="1" maximized="1" xWindow="-8" yWindow="-8" windowWidth="1936" windowHeight="1056" tabRatio="782" activeSheetId="4"/>
    <customWorkbookView name="Емилия Герджикова - Personal View" guid="{9CD5F6CE-0E1C-42DA-A598-93523B740CBC}" mergeInterval="0" personalView="1" xWindow="35" yWindow="34" windowWidth="1883" windowHeight="1007" tabRatio="782" activeSheetId="4"/>
    <customWorkbookView name="Антон Шопов - Personal View" guid="{72B67681-E295-44ED-80A6-F4B618B242B1}" mergeInterval="0" changesSavedWin="1" personalView="1" includePrintSettings="0" includeHiddenRowCol="0" maximized="1" xWindow="-8" yWindow="-8" windowWidth="1936" windowHeight="1056" tabRatio="782" activeSheetId="4"/>
    <customWorkbookView name="Даниела Николова - Personal View" guid="{32A281B9-28FB-4D0E-8C01-BFBADAC8C3C9}" mergeInterval="0" personalView="1" maximized="1" xWindow="-8" yWindow="-8" windowWidth="1936" windowHeight="1056" tabRatio="782" activeSheetId="4"/>
    <customWorkbookView name="Полина Личева - Personal View" guid="{77799D3C-38E2-410A-80FA-AECD8E6AB89B}" mergeInterval="0" personalView="1" maximized="1" xWindow="-8" yWindow="-8" windowWidth="1936" windowHeight="1056" tabRatio="782" activeSheetId="5"/>
    <customWorkbookView name="Елисавета Марашлиева-Нинова - Personal View" guid="{13EBDE9D-EC74-4522-9EED-363E735B4A78}" mergeInterval="0" personalView="1" maximized="1" xWindow="-8" yWindow="-8" windowWidth="1936" windowHeight="1056" tabRatio="782"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2" l="1"/>
  <c r="K7" i="2"/>
  <c r="G8" i="2" l="1"/>
  <c r="J8" i="2" s="1"/>
  <c r="K8" i="2" s="1"/>
  <c r="R9" i="2" l="1"/>
  <c r="L18" i="1" l="1"/>
  <c r="R13" i="2"/>
  <c r="G7" i="2" l="1"/>
  <c r="AA5" i="5" l="1"/>
  <c r="W8" i="5"/>
  <c r="X8" i="5"/>
  <c r="Y16" i="5"/>
  <c r="N5" i="5"/>
  <c r="L17" i="1" l="1"/>
  <c r="L16" i="1"/>
  <c r="L15" i="1"/>
  <c r="L14" i="1"/>
  <c r="L13" i="1"/>
  <c r="L12" i="1"/>
  <c r="L11" i="1"/>
  <c r="L10" i="1"/>
  <c r="L9" i="1"/>
  <c r="F18" i="1"/>
  <c r="E18" i="1"/>
  <c r="D18" i="1"/>
  <c r="L7" i="1"/>
  <c r="Q13" i="2"/>
  <c r="R7" i="2"/>
  <c r="R5" i="2"/>
  <c r="R11" i="2"/>
  <c r="L81" i="4"/>
  <c r="L80" i="4"/>
  <c r="K80" i="4"/>
  <c r="K81" i="4"/>
  <c r="K69" i="4"/>
  <c r="K79" i="4"/>
  <c r="L78" i="4"/>
  <c r="L79" i="4"/>
  <c r="K78" i="4"/>
  <c r="K68" i="4"/>
  <c r="K67" i="4"/>
  <c r="L77" i="4"/>
  <c r="K77" i="4"/>
  <c r="L76" i="4"/>
  <c r="K76" i="4"/>
  <c r="L75" i="4"/>
  <c r="K75" i="4"/>
  <c r="L74" i="4"/>
  <c r="K66" i="4"/>
  <c r="K74" i="4"/>
  <c r="O58" i="4"/>
  <c r="O55" i="4"/>
  <c r="O49" i="4"/>
  <c r="O46" i="4"/>
  <c r="O43" i="4"/>
  <c r="O40" i="4"/>
  <c r="O37" i="4"/>
  <c r="O34" i="4"/>
  <c r="O25" i="4"/>
  <c r="O19" i="4"/>
  <c r="O29" i="4"/>
  <c r="O22" i="4"/>
  <c r="O16" i="4"/>
  <c r="O13" i="4"/>
  <c r="O7" i="4"/>
  <c r="O4" i="4"/>
  <c r="L69" i="4"/>
  <c r="L68" i="4"/>
  <c r="L67" i="4"/>
  <c r="L66" i="4"/>
  <c r="G18" i="1" l="1"/>
  <c r="L6" i="1"/>
  <c r="J18" i="1"/>
  <c r="L8" i="1"/>
  <c r="K82" i="4"/>
  <c r="L82" i="4"/>
  <c r="H18" i="1"/>
  <c r="L70" i="4"/>
  <c r="K70" i="4"/>
  <c r="D39" i="4"/>
  <c r="O8" i="6" l="1"/>
  <c r="O6" i="6"/>
  <c r="O4" i="6"/>
  <c r="N8" i="6"/>
  <c r="N6" i="6"/>
  <c r="N4" i="6"/>
  <c r="AB4" i="5" l="1"/>
  <c r="AB15" i="5" l="1"/>
  <c r="D42" i="4" s="1"/>
  <c r="AB10" i="5"/>
  <c r="D24" i="4" s="1"/>
  <c r="D21" i="4"/>
  <c r="C21" i="4"/>
  <c r="D6" i="4"/>
  <c r="AB19" i="5"/>
  <c r="D54" i="4" s="1"/>
  <c r="O19" i="5"/>
  <c r="C54" i="4" s="1"/>
  <c r="O15" i="5"/>
  <c r="C42" i="4" s="1"/>
  <c r="O4" i="5"/>
  <c r="C6" i="4" s="1"/>
  <c r="O10" i="5"/>
  <c r="C24" i="4" s="1"/>
  <c r="M6" i="6" l="1"/>
  <c r="M4" i="6"/>
  <c r="M8" i="6"/>
  <c r="L8" i="6"/>
  <c r="L6" i="6"/>
  <c r="I6" i="6"/>
  <c r="I4" i="6"/>
  <c r="L4" i="6"/>
  <c r="M3" i="6"/>
  <c r="L3" i="6"/>
  <c r="K8" i="6" l="1"/>
  <c r="J8" i="6"/>
  <c r="K6" i="6"/>
  <c r="Q6" i="6" s="1"/>
  <c r="U8" i="5" s="1"/>
  <c r="J6" i="6"/>
  <c r="K4" i="6"/>
  <c r="Q4" i="6" s="1"/>
  <c r="T8" i="5" s="1"/>
  <c r="J4" i="6"/>
  <c r="K3" i="6"/>
  <c r="J3" i="6"/>
  <c r="I8" i="6"/>
  <c r="H8" i="6"/>
  <c r="H6" i="6"/>
  <c r="H4" i="6"/>
  <c r="I3" i="6"/>
  <c r="H3" i="6"/>
  <c r="E3" i="6"/>
  <c r="D3" i="6"/>
  <c r="Q8" i="6" l="1"/>
  <c r="S8" i="5" s="1"/>
  <c r="P3" i="6"/>
  <c r="P8" i="6"/>
  <c r="F8" i="5" s="1"/>
  <c r="P4" i="6"/>
  <c r="G8" i="5" s="1"/>
  <c r="Q3" i="6"/>
  <c r="Q8" i="5" s="1"/>
  <c r="P6" i="6"/>
  <c r="H8" i="5" s="1"/>
  <c r="D8" i="5"/>
  <c r="AB11" i="5"/>
  <c r="D27" i="4" s="1"/>
  <c r="O11" i="5"/>
  <c r="C27" i="4" s="1"/>
  <c r="O6" i="5"/>
  <c r="C12" i="4" s="1"/>
  <c r="J8" i="5" l="1"/>
  <c r="AB6" i="5" l="1"/>
  <c r="D12" i="4" s="1"/>
  <c r="AB7" i="5"/>
  <c r="D15" i="4" s="1"/>
  <c r="AB3" i="5"/>
  <c r="D3" i="4" s="1"/>
  <c r="O20" i="5" l="1"/>
  <c r="C57" i="4" s="1"/>
  <c r="O14" i="5"/>
  <c r="C39" i="4" s="1"/>
  <c r="AB20" i="5"/>
  <c r="D57" i="4" s="1"/>
  <c r="AB13" i="5"/>
  <c r="D36" i="4" s="1"/>
  <c r="O13" i="5"/>
  <c r="C36" i="4" s="1"/>
  <c r="AB18" i="5"/>
  <c r="D51" i="4" s="1"/>
  <c r="O18" i="5"/>
  <c r="C51" i="4" s="1"/>
  <c r="AB16" i="5"/>
  <c r="D45" i="4" s="1"/>
  <c r="L16" i="5"/>
  <c r="O16" i="5" s="1"/>
  <c r="C45" i="4" s="1"/>
  <c r="L17" i="5"/>
  <c r="O3" i="5"/>
  <c r="C3" i="4" s="1"/>
  <c r="O7" i="5"/>
  <c r="C15" i="4" s="1"/>
  <c r="AB5" i="5" l="1"/>
  <c r="D9" i="4" s="1"/>
  <c r="AB8" i="5"/>
  <c r="D18" i="4" s="1"/>
  <c r="AB17" i="5"/>
  <c r="D48" i="4" s="1"/>
  <c r="AB12" i="5"/>
  <c r="D33" i="4" s="1"/>
  <c r="O12" i="5"/>
  <c r="C33" i="4" s="1"/>
  <c r="O5" i="5"/>
  <c r="C9" i="4" s="1"/>
  <c r="O8" i="5"/>
  <c r="C18" i="4" s="1"/>
  <c r="O17" i="5"/>
  <c r="C48" i="4" s="1"/>
  <c r="G16" i="2" l="1"/>
  <c r="J16" i="2" s="1"/>
  <c r="G15" i="2"/>
  <c r="J15" i="2" s="1"/>
  <c r="G14" i="2"/>
  <c r="J14" i="2" s="1"/>
  <c r="G13" i="2"/>
  <c r="G12" i="2"/>
  <c r="J12" i="2" s="1"/>
  <c r="H11" i="2"/>
  <c r="G11" i="2" s="1"/>
  <c r="F11" i="2"/>
  <c r="H10" i="2"/>
  <c r="G10" i="2" s="1"/>
  <c r="F10" i="2"/>
  <c r="F18" i="2" s="1"/>
  <c r="G9" i="2"/>
  <c r="J9" i="2" s="1"/>
  <c r="J7" i="2"/>
  <c r="J11" i="2" l="1"/>
  <c r="G18" i="2"/>
  <c r="H18" i="2"/>
  <c r="K11" i="2"/>
  <c r="J10" i="2"/>
  <c r="J18" i="2" l="1"/>
  <c r="L18" i="2" s="1"/>
  <c r="K10" i="2"/>
  <c r="K18" i="2" l="1"/>
  <c r="N18" i="7" l="1"/>
  <c r="C49" i="7" l="1"/>
  <c r="I48" i="7" l="1"/>
  <c r="J6" i="7" l="1"/>
  <c r="J5" i="7"/>
  <c r="J7" i="7" s="1"/>
  <c r="H20" i="7" l="1"/>
  <c r="G19" i="7"/>
  <c r="G20" i="7" s="1"/>
  <c r="H32" i="7"/>
  <c r="G34" i="7"/>
  <c r="F34" i="7"/>
  <c r="E18" i="7" l="1"/>
  <c r="E20" i="7" s="1"/>
  <c r="G4" i="7" l="1"/>
  <c r="D36" i="7" l="1"/>
  <c r="D32" i="7" l="1"/>
  <c r="D28" i="7"/>
  <c r="E28" i="7" s="1"/>
  <c r="D24" i="7" l="1"/>
  <c r="D21" i="7"/>
  <c r="D16" i="7"/>
  <c r="D13" i="7" l="1"/>
  <c r="D12" i="7"/>
  <c r="D6" i="7"/>
  <c r="D14" i="7" l="1"/>
  <c r="A22" i="7"/>
  <c r="A19" i="7"/>
  <c r="A17" i="7" l="1"/>
  <c r="A12" i="7" l="1"/>
  <c r="A2" i="7"/>
  <c r="A5" i="7" l="1"/>
  <c r="J6" i="10" l="1"/>
  <c r="J7" i="10"/>
  <c r="L3" i="10"/>
  <c r="L6" i="10"/>
  <c r="L11" i="10" s="1"/>
  <c r="J11" i="10"/>
  <c r="J8" i="9"/>
  <c r="J13" i="9"/>
  <c r="J16" i="8"/>
  <c r="H18" i="9"/>
  <c r="G18" i="9"/>
  <c r="L6" i="8"/>
  <c r="L11" i="8" s="1"/>
  <c r="J6" i="8"/>
  <c r="L3" i="8"/>
  <c r="D3" i="9"/>
  <c r="G33" i="3" l="1"/>
  <c r="G28" i="3"/>
  <c r="M19" i="3"/>
  <c r="F22" i="3"/>
  <c r="G22" i="3" s="1"/>
  <c r="N10" i="3"/>
  <c r="M10" i="3"/>
  <c r="N4" i="3"/>
  <c r="D4" i="3" s="1"/>
  <c r="D7" i="3" s="1"/>
  <c r="K26" i="3" l="1"/>
  <c r="F21" i="3"/>
  <c r="G21" i="3" s="1"/>
  <c r="D5" i="3"/>
  <c r="C5" i="3" s="1"/>
  <c r="C4" i="3"/>
  <c r="F10" i="3"/>
  <c r="G10" i="3" s="1"/>
  <c r="F12" i="3"/>
  <c r="G12" i="3" s="1"/>
  <c r="O4" i="3"/>
  <c r="D6" i="3" s="1"/>
  <c r="C6" i="3" s="1"/>
  <c r="F16" i="3"/>
  <c r="L10" i="3" s="1"/>
  <c r="F14" i="3"/>
  <c r="G14" i="3" s="1"/>
  <c r="F19" i="3"/>
  <c r="G19" i="3" s="1"/>
  <c r="F23" i="3"/>
  <c r="G23" i="3" s="1"/>
  <c r="L3" i="3"/>
  <c r="F7" i="3" s="1"/>
  <c r="F11" i="3"/>
  <c r="G11" i="3" s="1"/>
  <c r="F13" i="3"/>
  <c r="F15" i="3"/>
  <c r="G15" i="3" s="1"/>
  <c r="F20" i="3"/>
  <c r="G20" i="3" s="1"/>
  <c r="B4" i="3" l="1"/>
  <c r="G11" i="10"/>
  <c r="H11" i="10" s="1"/>
  <c r="G6" i="10"/>
  <c r="G5" i="10"/>
  <c r="B6" i="3"/>
  <c r="G14" i="9"/>
  <c r="F25" i="3"/>
  <c r="L19" i="3" s="1"/>
  <c r="L26" i="3" s="1"/>
  <c r="L30" i="3" s="1"/>
  <c r="G16" i="3"/>
  <c r="G5" i="8"/>
  <c r="B5" i="3"/>
  <c r="G11" i="8"/>
  <c r="H11" i="8" s="1"/>
  <c r="G6" i="8"/>
  <c r="M26" i="3"/>
  <c r="G7" i="3"/>
  <c r="E7" i="3"/>
  <c r="G13" i="3"/>
  <c r="F17" i="3"/>
  <c r="G17" i="3" s="1"/>
  <c r="M3" i="3"/>
  <c r="G17" i="10" l="1"/>
  <c r="G20" i="10" s="1"/>
  <c r="I25" i="3"/>
  <c r="I24" i="3" s="1"/>
  <c r="N19" i="3" s="1"/>
  <c r="J3" i="10"/>
  <c r="G4" i="10"/>
  <c r="G3" i="10" s="1"/>
  <c r="H6" i="10" s="1"/>
  <c r="G25" i="3"/>
  <c r="J3" i="9"/>
  <c r="G19" i="9"/>
  <c r="G4" i="8"/>
  <c r="J3" i="8"/>
  <c r="G8" i="9"/>
  <c r="H8" i="9" s="1"/>
  <c r="H3" i="9" s="1"/>
  <c r="B7" i="3"/>
  <c r="N3" i="3"/>
  <c r="O3" i="3"/>
  <c r="F6" i="3" s="1"/>
  <c r="A8" i="7" l="1"/>
  <c r="F24" i="3"/>
  <c r="F26" i="3" s="1"/>
  <c r="J4" i="10"/>
  <c r="G20" i="9"/>
  <c r="H20" i="9" s="1"/>
  <c r="L3" i="9" s="1"/>
  <c r="L8" i="9" s="1"/>
  <c r="G21" i="9"/>
  <c r="G3" i="9"/>
  <c r="F5" i="3"/>
  <c r="F4" i="3"/>
  <c r="G6" i="3"/>
  <c r="E6" i="3"/>
  <c r="N26" i="3" l="1"/>
  <c r="G24" i="3"/>
  <c r="G26" i="3"/>
  <c r="F29" i="3"/>
  <c r="G4" i="3"/>
  <c r="F8" i="3"/>
  <c r="E4" i="3"/>
  <c r="G5" i="3"/>
  <c r="E5" i="3"/>
  <c r="I7" i="3" l="1"/>
  <c r="I6" i="3"/>
  <c r="G8" i="3"/>
  <c r="I4" i="3"/>
  <c r="F30" i="3"/>
  <c r="G30" i="3" s="1"/>
  <c r="G29" i="3"/>
  <c r="I5" i="3"/>
  <c r="E8" i="3"/>
  <c r="G3" i="8" l="1"/>
  <c r="H3" i="8" s="1"/>
  <c r="H6" i="8" s="1"/>
  <c r="J4" i="8"/>
  <c r="J11" i="8"/>
  <c r="J13" i="2"/>
</calcChain>
</file>

<file path=xl/sharedStrings.xml><?xml version="1.0" encoding="utf-8"?>
<sst xmlns="http://schemas.openxmlformats.org/spreadsheetml/2006/main" count="587" uniqueCount="571">
  <si>
    <r>
      <rPr>
        <sz val="11"/>
        <color theme="1"/>
        <rFont val="Times New Roman"/>
        <family val="1"/>
        <charset val="204"/>
      </rPr>
      <t>Програма за техническа помощ 2021-2027 г.</t>
    </r>
  </si>
  <si>
    <r>
      <rPr>
        <b/>
        <sz val="9"/>
        <color rgb="FF000000"/>
        <rFont val="Times New Roman"/>
        <family val="1"/>
        <charset val="204"/>
      </rPr>
      <t>EUR, принос на ЕС</t>
    </r>
  </si>
  <si>
    <r>
      <rPr>
        <b/>
        <sz val="13"/>
        <color rgb="FF000000"/>
        <rFont val="Times New Roman"/>
        <family val="1"/>
        <charset val="204"/>
      </rPr>
      <t>Таблица 10: Финансови бюджетни кредити по година</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</si>
  <si>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</si>
  <si>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</si>
  <si>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Общо</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</si>
  <si>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</si>
  <si>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</si>
  <si>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</si>
  <si>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</si>
  <si>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sz val="10"/>
        <color rgb="FF000000"/>
        <rFont val="Times New Roman"/>
        <family val="1"/>
        <charset val="204"/>
      </rPr>
      <t>ЕФРР</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</si>
  <si>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</si>
  <si>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</si>
  <si>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</si>
  <si>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</si>
  <si>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</si>
  <si>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</si>
  <si>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b/>
        <sz val="11"/>
        <color rgb="FF000000"/>
        <rFont val="Times New Roman"/>
        <family val="1"/>
        <charset val="204"/>
      </rPr>
      <t xml:space="preserve"> - </t>
    </r>
  </si>
  <si>
    <r>
      <rPr>
        <sz val="10"/>
        <color rgb="FF000000"/>
        <rFont val="Times New Roman"/>
        <family val="1"/>
        <charset val="204"/>
      </rPr>
      <t>ЕСФ+</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</si>
  <si>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</si>
  <si>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</si>
  <si>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</si>
  <si>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</si>
  <si>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</si>
  <si>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</si>
  <si>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sz val="10"/>
        <color rgb="FF000000"/>
        <rFont val="Times New Roman"/>
        <family val="1"/>
        <charset val="204"/>
      </rPr>
      <t>Кохезионен фонд</t>
    </r>
  </si>
  <si>
    <r>
      <rPr>
        <sz val="10"/>
        <color rgb="FF000000"/>
        <rFont val="Times New Roman"/>
        <family val="1"/>
        <charset val="204"/>
      </rPr>
      <t>неприложимо</t>
    </r>
  </si>
  <si>
    <r>
      <rPr>
        <sz val="10"/>
        <color rgb="FF000000"/>
        <rFont val="Times New Roman"/>
        <family val="1"/>
        <charset val="204"/>
      </rPr>
      <t>ЕФМДР</t>
    </r>
  </si>
  <si>
    <r>
      <rPr>
        <sz val="10"/>
        <color rgb="FF000000"/>
        <rFont val="Times New Roman"/>
        <family val="1"/>
        <charset val="204"/>
      </rPr>
      <t>неприложимо</t>
    </r>
  </si>
  <si>
    <r>
      <rPr>
        <b/>
        <sz val="10"/>
        <color rgb="FF000000"/>
        <rFont val="Times New Roman"/>
        <family val="1"/>
        <charset val="204"/>
      </rPr>
      <t>Общо</t>
    </r>
  </si>
  <si>
    <r>
      <rPr>
        <b/>
        <sz val="11"/>
        <color rgb="FF000000"/>
        <rFont val="Times New Roman"/>
        <family val="1"/>
        <charset val="204"/>
      </rPr>
      <t xml:space="preserve"> - </t>
    </r>
  </si>
  <si>
    <r>
      <rPr>
        <b/>
        <sz val="11"/>
        <color theme="1"/>
        <rFont val="Times New Roman"/>
        <family val="1"/>
        <charset val="204"/>
      </rPr>
      <t>Таблица 11: 3.2‭ ‬Общо финансови бюджетни кредити по фонд и национално съфинансиране</t>
    </r>
  </si>
  <si>
    <r>
      <rPr>
        <b/>
        <sz val="11"/>
        <color rgb="FF000000"/>
        <rFont val="Times New Roman"/>
        <family val="1"/>
        <charset val="204"/>
      </rPr>
      <t>Цели на политиката Не или ТП</t>
    </r>
  </si>
  <si>
    <r>
      <rPr>
        <b/>
        <sz val="11"/>
        <color rgb="FF000000"/>
        <rFont val="Times New Roman"/>
        <family val="1"/>
        <charset val="204"/>
      </rPr>
      <t>Приоритет</t>
    </r>
  </si>
  <si>
    <r>
      <rPr>
        <b/>
        <sz val="11"/>
        <color rgb="FF000000"/>
        <rFont val="Times New Roman"/>
        <family val="1"/>
        <charset val="204"/>
      </rPr>
      <t>Основа за изчисляване на подпомагането от ЕС‭ (‬общо или публично‭)</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</si>
  <si>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</si>
  <si>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</si>
  <si>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 xml:space="preserve">Принос на ЕС </t>
    </r>
  </si>
  <si>
    <r>
      <rPr>
        <b/>
        <sz val="11"/>
        <color rgb="FF000000"/>
        <rFont val="Times New Roman"/>
        <family val="1"/>
        <charset val="204"/>
      </rPr>
      <t>Национален принос</t>
    </r>
  </si>
  <si>
    <r>
      <rPr>
        <b/>
        <sz val="11"/>
        <color rgb="FF000000"/>
        <rFont val="Times New Roman"/>
        <family val="1"/>
        <charset val="204"/>
      </rPr>
      <t>Ориентировъчно разпределение на националното участие</t>
    </r>
  </si>
  <si>
    <r>
      <rPr>
        <b/>
        <sz val="11"/>
        <color rgb="FF000000"/>
        <rFont val="Times New Roman"/>
        <family val="1"/>
        <charset val="204"/>
      </rPr>
      <t>Общо</t>
    </r>
  </si>
  <si>
    <r>
      <rPr>
        <b/>
        <sz val="11"/>
        <color rgb="FF000000"/>
        <rFont val="Times New Roman"/>
        <family val="1"/>
        <charset val="204"/>
      </rPr>
      <t>Процент на съфинансиране</t>
    </r>
  </si>
  <si>
    <r>
      <rPr>
        <b/>
        <sz val="11"/>
        <color theme="1"/>
        <rFont val="Times New Roman"/>
        <family val="1"/>
        <charset val="204"/>
      </rPr>
      <t>Таблица 8: Измерение 1 – Област на интервенция</t>
    </r>
  </si>
  <si>
    <r>
      <rPr>
        <b/>
        <sz val="11"/>
        <color rgb="FF000000"/>
        <rFont val="Times New Roman"/>
        <family val="1"/>
        <charset val="204"/>
      </rPr>
      <t>публично‭</t>
    </r>
  </si>
  <si>
    <r>
      <rPr>
        <b/>
        <sz val="11"/>
        <color rgb="FF000000"/>
        <rFont val="Times New Roman"/>
        <family val="1"/>
        <charset val="204"/>
      </rPr>
      <t>частно‭</t>
    </r>
  </si>
  <si>
    <r>
      <rPr>
        <b/>
        <sz val="11"/>
        <color theme="1"/>
        <rFont val="Times New Roman"/>
        <family val="1"/>
        <charset val="204"/>
      </rPr>
      <t>Приоритет‭ №</t>
    </r>
  </si>
  <si>
    <r>
      <rPr>
        <b/>
        <sz val="11"/>
        <color theme="1"/>
        <rFont val="Times New Roman"/>
        <family val="1"/>
        <charset val="204"/>
      </rPr>
      <t>Фонд</t>
    </r>
  </si>
  <si>
    <r>
      <rPr>
        <b/>
        <sz val="11"/>
        <color theme="1"/>
        <rFont val="Times New Roman"/>
        <family val="1"/>
        <charset val="204"/>
      </rPr>
      <t>Категория региони</t>
    </r>
  </si>
  <si>
    <r>
      <rPr>
        <b/>
        <sz val="11"/>
        <color theme="1"/>
        <rFont val="Times New Roman"/>
        <family val="1"/>
        <charset val="204"/>
      </rPr>
      <t xml:space="preserve">Код </t>
    </r>
  </si>
  <si>
    <r>
      <rPr>
        <b/>
        <sz val="11"/>
        <color theme="1"/>
        <rFont val="Times New Roman"/>
        <family val="1"/>
        <charset val="204"/>
      </rPr>
      <t>Сума‭ (‬EUR‭)</t>
    </r>
  </si>
  <si>
    <r>
      <rPr>
        <sz val="11"/>
        <color rgb="FF000000"/>
        <rFont val="Times New Roman"/>
        <family val="1"/>
        <charset val="204"/>
      </rPr>
      <t>(а)</t>
    </r>
  </si>
  <si>
    <r>
      <rPr>
        <sz val="11"/>
        <color rgb="FF000000"/>
        <rFont val="Times New Roman"/>
        <family val="1"/>
        <charset val="204"/>
      </rPr>
      <t>(б‭)=(в‬)+‭(‬г)</t>
    </r>
  </si>
  <si>
    <r>
      <rPr>
        <sz val="11"/>
        <color rgb="FF000000"/>
        <rFont val="Times New Roman"/>
        <family val="1"/>
        <charset val="204"/>
      </rPr>
      <t>(в)</t>
    </r>
  </si>
  <si>
    <r>
      <rPr>
        <sz val="11"/>
        <color rgb="FF000000"/>
        <rFont val="Times New Roman"/>
        <family val="1"/>
        <charset val="204"/>
      </rPr>
      <t>(г)</t>
    </r>
  </si>
  <si>
    <r>
      <rPr>
        <sz val="11"/>
        <color rgb="FF000000"/>
        <rFont val="Times New Roman"/>
        <family val="1"/>
        <charset val="204"/>
      </rPr>
      <t>(д)=(‬a‭)‬+‭(‬б)**</t>
    </r>
  </si>
  <si>
    <r>
      <rPr>
        <sz val="11"/>
        <color rgb="FF000000"/>
        <rFont val="Times New Roman"/>
        <family val="1"/>
        <charset val="204"/>
      </rPr>
      <t>(е‭)=(‬a‭)‬/‭(д)**</t>
    </r>
  </si>
  <si>
    <r>
      <rPr>
        <sz val="11"/>
        <color theme="1"/>
        <rFont val="Times New Roman"/>
        <family val="1"/>
        <charset val="204"/>
      </rPr>
      <t xml:space="preserve">1. ТП в съответствие с чл. 30, параграф 4) </t>
    </r>
  </si>
  <si>
    <r>
      <rPr>
        <sz val="11"/>
        <color theme="1"/>
        <rFont val="Times New Roman"/>
        <family val="1"/>
        <charset val="204"/>
      </rPr>
      <t>ЕФРР</t>
    </r>
  </si>
  <si>
    <r>
      <rPr>
        <sz val="11"/>
        <color theme="1"/>
        <rFont val="Times New Roman"/>
        <family val="1"/>
        <charset val="204"/>
      </rPr>
      <t>По-слабо развити региони</t>
    </r>
  </si>
  <si>
    <r>
      <rPr>
        <sz val="11"/>
        <color theme="1"/>
        <rFont val="Times New Roman"/>
        <family val="1"/>
        <charset val="204"/>
      </rPr>
      <t>Преход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</si>
  <si>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</si>
  <si>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</si>
  <si>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</si>
  <si>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</si>
  <si>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Преход</t>
    </r>
  </si>
  <si>
    <r>
      <rPr>
        <sz val="11"/>
        <color theme="1"/>
        <rFont val="Times New Roman"/>
        <family val="1"/>
        <charset val="204"/>
      </rPr>
      <t>По-слабо развити региони</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</si>
  <si>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</si>
  <si>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</si>
  <si>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</si>
  <si>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</si>
  <si>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По-слабо развити региони</t>
    </r>
  </si>
  <si>
    <r>
      <rPr>
        <sz val="11"/>
        <color theme="1"/>
        <rFont val="Times New Roman"/>
        <family val="1"/>
        <charset val="204"/>
      </rPr>
      <t>Преход</t>
    </r>
  </si>
  <si>
    <r>
      <rPr>
        <b/>
        <sz val="11"/>
        <color rgb="FF000000"/>
        <rFont val="Times New Roman"/>
        <family val="1"/>
        <charset val="204"/>
      </rPr>
      <t>Общо ЕФРР</t>
    </r>
  </si>
  <si>
    <r>
      <rPr>
        <i/>
        <sz val="11"/>
        <color rgb="FF000000"/>
        <rFont val="Times New Roman"/>
        <family val="1"/>
        <charset val="204"/>
      </rPr>
      <t>По-силно развити региони</t>
    </r>
  </si>
  <si>
    <r>
      <rPr>
        <sz val="11"/>
        <color theme="1"/>
        <rFont val="Times New Roman"/>
        <family val="1"/>
        <charset val="204"/>
      </rPr>
      <t>По-слабо развити региони</t>
    </r>
  </si>
  <si>
    <r>
      <rPr>
        <i/>
        <sz val="11"/>
        <color rgb="FF000000"/>
        <rFont val="Times New Roman"/>
        <family val="1"/>
        <charset val="204"/>
      </rPr>
      <t>Преход</t>
    </r>
  </si>
  <si>
    <r>
      <rPr>
        <sz val="11"/>
        <color theme="1"/>
        <rFont val="Times New Roman"/>
        <family val="1"/>
        <charset val="204"/>
      </rPr>
      <t>Преход</t>
    </r>
  </si>
  <si>
    <r>
      <rPr>
        <i/>
        <sz val="11"/>
        <color rgb="FF000000"/>
        <rFont val="Times New Roman"/>
        <family val="1"/>
        <charset val="204"/>
      </rPr>
      <t>По-слабо развити региони</t>
    </r>
  </si>
  <si>
    <r>
      <rPr>
        <sz val="11"/>
        <color theme="1"/>
        <rFont val="Times New Roman"/>
        <family val="1"/>
        <charset val="204"/>
      </rPr>
      <t>По-слабо развити региони</t>
    </r>
  </si>
  <si>
    <r>
      <rPr>
        <i/>
        <sz val="11"/>
        <color rgb="FF000000"/>
        <rFont val="Times New Roman"/>
        <family val="1"/>
        <charset val="204"/>
      </rPr>
      <t xml:space="preserve">Най-отдалечени </t>
    </r>
  </si>
  <si>
    <r>
      <rPr>
        <sz val="11"/>
        <color theme="1"/>
        <rFont val="Times New Roman"/>
        <family val="1"/>
        <charset val="204"/>
      </rPr>
      <t>Преход</t>
    </r>
  </si>
  <si>
    <r>
      <rPr>
        <b/>
        <sz val="11"/>
        <color rgb="FF000000"/>
        <rFont val="Times New Roman"/>
        <family val="1"/>
        <charset val="204"/>
      </rPr>
      <t>Общо ЕСФ+</t>
    </r>
  </si>
  <si>
    <r>
      <rPr>
        <i/>
        <sz val="8"/>
        <color rgb="FF000000"/>
        <rFont val="Times New Roman"/>
        <family val="1"/>
        <charset val="204"/>
      </rPr>
      <t>По-силно развити региони</t>
    </r>
  </si>
  <si>
    <r>
      <rPr>
        <i/>
        <sz val="8"/>
        <color rgb="FF000000"/>
        <rFont val="Times New Roman"/>
        <family val="1"/>
        <charset val="204"/>
      </rPr>
      <t>Преход</t>
    </r>
  </si>
  <si>
    <r>
      <rPr>
        <i/>
        <sz val="8"/>
        <color rgb="FF000000"/>
        <rFont val="Times New Roman"/>
        <family val="1"/>
        <charset val="204"/>
      </rPr>
      <t>По-слабо развити региони</t>
    </r>
  </si>
  <si>
    <r>
      <rPr>
        <i/>
        <sz val="8"/>
        <color rgb="FF000000"/>
        <rFont val="Times New Roman"/>
        <family val="1"/>
        <charset val="204"/>
      </rPr>
      <t>Специално разпределени средства за най-отдалечените или северни слабо населени региони</t>
    </r>
  </si>
  <si>
    <r>
      <rPr>
        <b/>
        <sz val="11"/>
        <color rgb="FF000000"/>
        <rFont val="Times New Roman"/>
        <family val="1"/>
        <charset val="204"/>
      </rPr>
      <t>Общо КФ</t>
    </r>
  </si>
  <si>
    <r>
      <rPr>
        <sz val="11"/>
        <color rgb="FF000000"/>
        <rFont val="Times New Roman"/>
        <family val="1"/>
        <charset val="204"/>
      </rPr>
      <t>неприложимо</t>
    </r>
  </si>
  <si>
    <r>
      <rPr>
        <b/>
        <sz val="11"/>
        <color rgb="FF000000"/>
        <rFont val="Times New Roman"/>
        <family val="1"/>
        <charset val="204"/>
      </rPr>
      <t>Общо</t>
    </r>
  </si>
  <si>
    <r>
      <rPr>
        <b/>
        <sz val="8"/>
        <color theme="1"/>
        <rFont val="Times New Roman"/>
        <family val="1"/>
        <charset val="204"/>
      </rPr>
      <t>Показатели за краен  продукт</t>
    </r>
  </si>
  <si>
    <r>
      <rPr>
        <b/>
        <sz val="8"/>
        <color theme="1"/>
        <rFont val="Times New Roman"/>
        <family val="1"/>
        <charset val="204"/>
      </rPr>
      <t>Мерна единица</t>
    </r>
  </si>
  <si>
    <r>
      <rPr>
        <b/>
        <sz val="8"/>
        <color theme="1"/>
        <rFont val="Times New Roman"/>
        <family val="1"/>
        <charset val="204"/>
      </rPr>
      <t>Етапна цел (2024)</t>
    </r>
  </si>
  <si>
    <r>
      <rPr>
        <b/>
        <sz val="8"/>
        <color theme="1"/>
        <rFont val="Times New Roman"/>
        <family val="1"/>
        <charset val="204"/>
      </rPr>
      <t>Цел (2030)</t>
    </r>
  </si>
  <si>
    <r>
      <rPr>
        <b/>
        <sz val="8"/>
        <color theme="1"/>
        <rFont val="Times New Roman"/>
        <family val="1"/>
        <charset val="204"/>
      </rPr>
      <t xml:space="preserve">Определение </t>
    </r>
  </si>
  <si>
    <r>
      <rPr>
        <b/>
        <sz val="8"/>
        <color theme="1"/>
        <rFont val="Times New Roman"/>
        <family val="1"/>
        <charset val="204"/>
      </rPr>
      <t>Методология (метод на изчисляване)</t>
    </r>
  </si>
  <si>
    <r>
      <rPr>
        <b/>
        <sz val="8"/>
        <color theme="1"/>
        <rFont val="Times New Roman"/>
        <family val="1"/>
        <charset val="204"/>
      </rPr>
      <t xml:space="preserve">Специфична цел </t>
    </r>
  </si>
  <si>
    <r>
      <rPr>
        <b/>
        <sz val="8"/>
        <color theme="1"/>
        <rFont val="Times New Roman"/>
        <family val="1"/>
        <charset val="204"/>
      </rPr>
      <t>Индикативен списък с действия</t>
    </r>
  </si>
  <si>
    <r>
      <rPr>
        <b/>
        <sz val="8"/>
        <color theme="1"/>
        <rFont val="Times New Roman"/>
        <family val="1"/>
        <charset val="204"/>
      </rPr>
      <t>Очаквани постижения/резултати</t>
    </r>
  </si>
  <si>
    <r>
      <rPr>
        <b/>
        <sz val="8"/>
        <color theme="1"/>
        <rFont val="Times New Roman"/>
        <family val="1"/>
        <charset val="204"/>
      </rPr>
      <t xml:space="preserve">Вид интервенции и индикативно разпределнеие на ресурсите по ПТП повид интервенция или област на подкрепа </t>
    </r>
  </si>
  <si>
    <r>
      <rPr>
        <b/>
        <sz val="8"/>
        <color theme="1"/>
        <rFont val="Times New Roman"/>
        <family val="1"/>
        <charset val="204"/>
      </rPr>
      <t>Стойности на кодове за интервенция (финансиране от ЕС) (EUR)</t>
    </r>
  </si>
  <si>
    <r>
      <rPr>
        <b/>
        <sz val="8"/>
        <color theme="1"/>
        <rFont val="Times New Roman"/>
        <family val="1"/>
        <charset val="204"/>
      </rPr>
      <t>Общо (европейско + национално съфинансиране) (BGN)</t>
    </r>
  </si>
  <si>
    <r>
      <rPr>
        <b/>
        <sz val="8"/>
        <color theme="1"/>
        <rFont val="Times New Roman"/>
        <family val="1"/>
        <charset val="204"/>
      </rPr>
      <t>% ЕФРР</t>
    </r>
  </si>
  <si>
    <r>
      <rPr>
        <b/>
        <sz val="9"/>
        <color theme="1"/>
        <rFont val="Times New Roman"/>
        <family val="1"/>
        <charset val="204"/>
      </rPr>
      <t>(О1-1) Аналитични и оценителни доклади и стратегически документи</t>
    </r>
  </si>
  <si>
    <r>
      <rPr>
        <i/>
        <sz val="9"/>
        <color theme="1"/>
        <rFont val="Times New Roman"/>
        <family val="1"/>
        <charset val="204"/>
      </rPr>
      <t>брой</t>
    </r>
  </si>
  <si>
    <r>
      <rPr>
        <sz val="9"/>
        <rFont val="Times New Roman"/>
        <family val="1"/>
        <charset val="204"/>
      </rPr>
      <t>1.1. Набиране,‭ ‬обобщаване и/или анализ на информация и статистически данни;
1.2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1.3 Изготвяне на годишен анализ на основните констатации от одити на системата и годишен анализ на грешки с финансово въздействие от одита на операциите
1.4 Изготвяне на годишен анализ на основните констатации от проверки за открити нередности, включително измами, и всякакви последващи действия;
1.5 Изготвяне на годишен анализ на основните грешки, свързани с правилата за държавни помощи;
1.6 Подготовка на стратегии и пътни карти за подобряване на системата за фондове по РОР.</t>
    </r>
  </si>
  <si>
    <r>
      <rPr>
        <i/>
        <sz val="9"/>
        <color theme="1"/>
        <rFont val="Times New Roman"/>
        <family val="1"/>
        <charset val="204"/>
      </rPr>
      <t>Преход</t>
    </r>
  </si>
  <si>
    <r>
      <rPr>
        <i/>
        <sz val="9"/>
        <color theme="1"/>
        <rFont val="Times New Roman"/>
        <family val="1"/>
        <charset val="204"/>
      </rPr>
      <t>брой</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</si>
  <si>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</si>
  <si>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</si>
  <si>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брой</t>
    </r>
  </si>
  <si>
    <r>
      <rPr>
        <sz val="9"/>
        <color theme="1"/>
        <rFont val="Times New Roman"/>
        <family val="1"/>
        <charset val="204"/>
      </rPr>
      <t xml:space="preserve">Всеки бенефициент непрекъснато предоставя на УО информация за броя на проведените срещи. </t>
    </r>
    <r>
      <rPr>
        <sz val="9"/>
        <color theme="1"/>
        <rFont val="Times New Roman"/>
        <family val="2"/>
        <charset val="204"/>
      </rPr>
      <t xml:space="preserve">
Показателят се изчислява на годишна база от УО.
Показателят се изчислява кумулативно.
</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</si>
  <si>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</si>
  <si>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</si>
  <si>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брой</t>
    </r>
  </si>
  <si>
    <r>
      <rPr>
        <sz val="9"/>
        <rFont val="Times New Roman"/>
        <family val="1"/>
        <charset val="204"/>
      </rPr>
      <t xml:space="preserve">Надежден достъп до специализирани експертни познания и обратна връзка за държавните помощи;
Функционално уеб базирано приложение за обмен на експертни познания за държавна помощ между всички структури за управление и контрол на фондовете по РОР;
Съдействие за всеки отделен случай от ЗДП на всички УО за подобряване на прилагането на правилата за държавни помощи на всеки етап от проектния цикъл;
Специфична подкрепа от ЗДП на общините (в качеството им на администратори и получатели на държавна помощ);
</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</si>
  <si>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</si>
  <si>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</si>
  <si>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брой</t>
    </r>
  </si>
  <si>
    <r>
      <rPr>
        <sz val="9"/>
        <rFont val="Times New Roman"/>
        <family val="1"/>
        <charset val="204"/>
      </rPr>
      <t>Финансират се брутни възнаграждения, изплатени по договори за държавни служители и трудови договори, както и задължителните осигурителни вноски от името на работодателя.
Всеки бенефициент предоставя информация на УО за броя на служителите, чиито възнаграждения се възстановяват.
Броят на служителите, чиито възнаграждения се финансират по програмата за годината, се изчислява, като броят на служителите в края на всеки месец на годината се раздели на 12.
Целевата стойност се отнася само до броя на служителите, чиито възнаграждения се финансират от техническа помощ през 2030 г.
Въз основа на исторически данни от програмния период 2014-2020 г. се приема, че броят на служителите, чиито възнаграждения са съфинансирани от ПТП, няма да бъде увеличен.</t>
    </r>
  </si>
  <si>
    <r>
      <rPr>
        <sz val="9"/>
        <color theme="1"/>
        <rFont val="Times New Roman"/>
        <family val="1"/>
        <charset val="204"/>
      </rPr>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отвъд 2027 г.);</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</si>
  <si>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</si>
  <si>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</si>
  <si>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брой</t>
    </r>
  </si>
  <si>
    <r>
      <rPr>
        <sz val="9"/>
        <color theme="1"/>
        <rFont val="Times New Roman"/>
        <family val="1"/>
        <charset val="204"/>
      </rPr>
      <t xml:space="preserve">
Всеки бенефициент непрекъснато предоставя на УО информация за броя на обучените служители, членовете на Комитета за наблюдение, представителите на партньорските организации;
Едно лице, което участва в две събития, се отчита като 2.
Показателят се изчислява на годишна база от УО.
Показателят се изчислява кумулативно.
</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</si>
  <si>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</si>
  <si>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</si>
  <si>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t>
    </r>
  </si>
  <si>
    <r>
      <rPr>
        <sz val="9"/>
        <rFont val="Times New Roman"/>
        <family val="1"/>
        <charset val="204"/>
      </rPr>
      <t>Методът на изчисление от бенефициента е както следва:
Показателят се отчита кумулативно в рамките на всяко искане за плащане. Уеб-базираните въпросници трябва да се предоставят от бенефициентите за всеки обучен и докладван по покзателя (O1-6). Средното ниво на удовлетвореност се изчислява като сборът от всички резултати от отделни въпросници от началото на операцията се дели на броя на въпросниците.  
Методът на изчисление от УО е към 31 декември на предходната година, както следва:
1. Определяне на всички проекти, които участват в изчисляването на стойността на показателя
2. Изчисляване на нивото на удовлетвореност през отчетния период по следната формула *
3. Изчисляване на кумулативната стойност по следната формула **</t>
    </r>
  </si>
  <si>
    <r>
      <rPr>
        <sz val="9"/>
        <rFont val="Times New Roman"/>
        <family val="1"/>
        <charset val="204"/>
      </rPr>
      <t xml:space="preserve">Показателят измерва нивото на удовлетвореност от участие в:
1.1.Обучения по хоризонтални теми от националните власти, както следва:
- обществени поръчки;
- откриване на нередности, включително измами, и подходящи последващи действия;
- прилагане на правила за държавни помощи;
- цифрови и зелени умения.
1.2.Специализирани обучения за външни оценители на проекти със специален фокус върху прилагането на правилата за фондовете по РОР и ефективното използване на ИСУН;
1.3 Специализирани събития на национални и европейски центрове за обучение;
</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</si>
  <si>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</si>
  <si>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</si>
  <si>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(О1-8) Избрани външни оценители на проекти</t>
    </r>
  </si>
  <si>
    <r>
      <rPr>
        <i/>
        <sz val="9"/>
        <color theme="1"/>
        <rFont val="Times New Roman"/>
        <family val="1"/>
        <charset val="204"/>
      </rPr>
      <t>брой</t>
    </r>
  </si>
  <si>
    <r>
      <rPr>
        <sz val="9"/>
        <color theme="1"/>
        <rFont val="Times New Roman"/>
        <family val="1"/>
        <charset val="204"/>
      </rPr>
      <t xml:space="preserve">Отчита се броят на одобрените външни оценители. 
Индикаторът се отчита след успешното приключване на процедурите за подбор. </t>
    </r>
  </si>
  <si>
    <r>
      <rPr>
        <sz val="9"/>
        <color theme="1"/>
        <rFont val="Times New Roman"/>
        <family val="1"/>
        <charset val="204"/>
      </rPr>
      <t xml:space="preserve">Анализ на необходимостта от външна експертиза в специфични професионални области и сфери.
Провеждане на централизиран конкурс за подбор на външни оценители в подкрепа на капацитета на УО и предоставяне на специфична експертиза, необходима за оценка на проектните предложения при изпълнението на програмите.
</t>
    </r>
  </si>
  <si>
    <r>
      <rPr>
        <sz val="9"/>
        <rFont val="Times New Roman"/>
        <family val="1"/>
        <charset val="204"/>
      </rPr>
      <t>Предоставяне на системата за управление и контрол на фондовете по РОР с широк набор от експерти със специфична квалификация. 
По-добро качество и/или намалено време за оценка на проектното предложение.
Трансфер на знания от външните оценители към служители от системата за управление и контрол на фондовете по РОР.</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</si>
  <si>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</si>
  <si>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</si>
  <si>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(О1-9) Подкрепени партньорски организации</t>
    </r>
  </si>
  <si>
    <r>
      <rPr>
        <sz val="9"/>
        <color theme="1"/>
        <rFont val="Times New Roman"/>
        <family val="1"/>
        <charset val="204"/>
      </rPr>
      <t>брой</t>
    </r>
  </si>
  <si>
    <r>
      <rPr>
        <sz val="9"/>
        <color theme="1"/>
        <rFont val="Times New Roman"/>
        <family val="1"/>
        <charset val="204"/>
      </rPr>
      <t xml:space="preserve">Броят на подкрепените партньорски организации.
Всеки бенефициент непрекъснато предоставя на УО информация за броя на подкрепяните "партньорски организации". 
Показателят се изчислява на годишна база от УО.
Показателят се изчислява кумулативно.
</t>
    </r>
  </si>
  <si>
    <r>
      <rPr>
        <sz val="9"/>
        <color theme="1"/>
        <rFont val="Times New Roman"/>
        <family val="1"/>
        <charset val="204"/>
      </rPr>
      <t>Увеличен административен капацитет на партньорските организации</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</si>
  <si>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</si>
  <si>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</si>
  <si>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Преход</t>
    </r>
  </si>
  <si>
    <r>
      <rPr>
        <i/>
        <sz val="9"/>
        <color theme="1"/>
        <rFont val="Times New Roman"/>
        <family val="1"/>
        <charset val="204"/>
      </rPr>
      <t>По-слабо развити региони</t>
    </r>
  </si>
  <si>
    <r>
      <rPr>
        <sz val="9"/>
        <color theme="1"/>
        <rFont val="Times New Roman"/>
        <family val="1"/>
        <charset val="204"/>
      </rPr>
      <t>(О1-10)</t>
    </r>
    <r>
      <rPr>
        <sz val="9"/>
        <color theme="1"/>
        <rFont val="Times New Roman"/>
        <family val="1"/>
        <charset val="204"/>
      </rPr>
      <t xml:space="preserve"> </t>
    </r>
    <r>
      <rPr>
        <b/>
        <sz val="9"/>
        <color theme="1"/>
        <rFont val="Times New Roman"/>
        <family val="2"/>
        <charset val="204"/>
      </rPr>
      <t>Проверки и одити, извършвани от одитиращи и/или контролни органи</t>
    </r>
  </si>
  <si>
    <r>
      <rPr>
        <i/>
        <sz val="9"/>
        <color theme="1"/>
        <rFont val="Times New Roman"/>
        <family val="1"/>
        <charset val="204"/>
      </rPr>
      <t>брой</t>
    </r>
  </si>
  <si>
    <r>
      <rPr>
        <sz val="9"/>
        <color theme="1"/>
        <rFont val="Times New Roman"/>
        <family val="1"/>
        <charset val="204"/>
      </rPr>
      <t xml:space="preserve">Всеки бенефициент непрекъснато предоставя на УО информация за броя на контролите/ или одитите, завършени с окончателен доклад.
Показателят се изчислява на годишна база от УО.
Показателят се изчислява кумулативно.
</t>
    </r>
  </si>
  <si>
    <r>
      <rPr>
        <i/>
        <sz val="9"/>
        <color theme="1"/>
        <rFont val="Times New Roman"/>
        <family val="1"/>
        <charset val="204"/>
      </rPr>
      <t>Преход</t>
    </r>
  </si>
  <si>
    <r>
      <rPr>
        <i/>
        <sz val="9"/>
        <color theme="1"/>
        <rFont val="Times New Roman"/>
        <family val="1"/>
        <charset val="204"/>
      </rPr>
      <t>По-слабо развити региони</t>
    </r>
  </si>
  <si>
    <r>
      <rPr>
        <sz val="9"/>
        <color theme="1"/>
        <rFont val="Times New Roman"/>
        <family val="1"/>
        <charset val="204"/>
      </rPr>
      <t>(О1-11)</t>
    </r>
    <r>
      <rPr>
        <b/>
        <sz val="9"/>
        <color theme="1"/>
        <rFont val="Times New Roman"/>
        <family val="2"/>
        <charset val="204"/>
      </rPr>
      <t>Нови функционалности на ИСУН</t>
    </r>
  </si>
  <si>
    <r>
      <rPr>
        <i/>
        <sz val="9"/>
        <color theme="1"/>
        <rFont val="Times New Roman"/>
        <family val="1"/>
        <charset val="204"/>
      </rPr>
      <t>брой</t>
    </r>
  </si>
  <si>
    <r>
      <rPr>
        <sz val="9"/>
        <color theme="1"/>
        <rFont val="Times New Roman"/>
        <family val="1"/>
        <charset val="204"/>
      </rPr>
      <t>Бенефициентът, отговорен за разработването и подкрепата на ИСУН, предоставя непрекъснато информация за разработени и внедрени функционалности.
Показателят се изчислява кумулативно.</t>
    </r>
  </si>
  <si>
    <r>
      <rPr>
        <sz val="9"/>
        <color theme="1"/>
        <rFont val="Times New Roman"/>
        <family val="1"/>
        <charset val="204"/>
      </rPr>
      <t>Функционалности за събиране на структурирани данни за аналитични и оценителни цели
Интегриране на ИСУН с регистри от средата за междурегистров обмен (Regix) и с базите данни на различни администрации;
По-нататъшно надграждане и развитие на системата, за да покрие нуждите от прилагане и използване на интегрирания териториален подход и местни инициативни групи (МИГ и МИРГ);
Въвеждане на декларация, базирана на ИСУН, вместо предоставяне на допълнителни копирани документи в рамките на проектните предложения.</t>
    </r>
  </si>
  <si>
    <r>
      <rPr>
        <i/>
        <sz val="9"/>
        <color theme="1"/>
        <rFont val="Times New Roman"/>
        <family val="1"/>
        <charset val="204"/>
      </rPr>
      <t>Преход</t>
    </r>
  </si>
  <si>
    <r>
      <rPr>
        <i/>
        <sz val="9"/>
        <color theme="1"/>
        <rFont val="Times New Roman"/>
        <family val="1"/>
        <charset val="204"/>
      </rPr>
      <t>По-слабо развити региони</t>
    </r>
  </si>
  <si>
    <r>
      <rPr>
        <i/>
        <sz val="9"/>
        <color theme="1"/>
        <rFont val="Times New Roman"/>
        <family val="1"/>
        <charset val="204"/>
      </rPr>
      <t>%</t>
    </r>
  </si>
  <si>
    <r>
      <rPr>
        <sz val="9"/>
        <color theme="1"/>
        <rFont val="Times New Roman"/>
        <family val="1"/>
        <charset val="204"/>
      </rPr>
      <t xml:space="preserve">Показателят се отчита ежегодно към 31 декември на съответната година. 
Средното кумулативно ниво на удовлетвореност се изчислява чрез разделяне на сумата на индивидуалното удовлетворение от всеки попълнен въпросник от началото на програмния период, разделен на броя на попълнените въпросници.
Въз основа на исторически данни от програмния период 2014-2020 г. се предполага, че нивото на удовлетвореност ще се повиши в резултат на разработените нови функционалности.
</t>
    </r>
  </si>
  <si>
    <r>
      <rPr>
        <sz val="9"/>
        <color theme="1"/>
        <rFont val="Times New Roman"/>
        <family val="1"/>
        <charset val="204"/>
      </rPr>
      <t>Текущо събиране на данни за нивото на удовлетвореност на потребителите на ИСУН.
Анализ на събраните данни за идентифициране на необходимостта от подобряване на съществуващите функционалности и/или разработване на нови функционалности</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</si>
  <si>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</si>
  <si>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</si>
  <si>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(О1-13) Намалена административна тежест за кандидатите</t>
    </r>
  </si>
  <si>
    <r>
      <rPr>
        <i/>
        <sz val="9"/>
        <color theme="1"/>
        <rFont val="Times New Roman"/>
        <family val="1"/>
        <charset val="204"/>
      </rPr>
      <t>%</t>
    </r>
  </si>
  <si>
    <r>
      <rPr>
        <sz val="9"/>
        <color theme="1"/>
        <rFont val="Times New Roman"/>
        <family val="1"/>
        <charset val="204"/>
      </rPr>
      <t xml:space="preserve">Показателят се отчита ежегодно към 31 декември на съответната година. 
Намалението се измерва като средният брой необходими документи за кандидатстване по обявените процедури през съответната календарна година се дели на 16,1 (средна стойност през програмния период 2014-2020 г.)
</t>
    </r>
  </si>
  <si>
    <r>
      <rPr>
        <sz val="9"/>
        <color theme="1"/>
        <rFont val="Times New Roman"/>
        <family val="1"/>
        <charset val="204"/>
      </rPr>
      <t xml:space="preserve">Интегриране на ИСУН с регистри от средата за междурегистров обмен (Regix) и с базите данни на различни администрации за осигуряване на вътрешния обмен на данни;
Въвеждане на декларация, базирана на ИСУН, вместо предоставяне на допълнителни копирани документи в рамките на проектните предложения.
Оптимизиране и унифициране на оценката на процедурите за проектни предложения между всички управляващи органи;
</t>
    </r>
  </si>
  <si>
    <r>
      <rPr>
        <sz val="9"/>
        <color theme="1"/>
        <rFont val="Times New Roman"/>
        <family val="1"/>
        <charset val="204"/>
      </rPr>
      <t>Ускорена оценка на проектните предложения
Намалена административна тежест за кандидатите</t>
    </r>
  </si>
  <si>
    <r>
      <rPr>
        <i/>
        <sz val="9"/>
        <color theme="1"/>
        <rFont val="Times New Roman"/>
        <family val="1"/>
        <charset val="204"/>
      </rPr>
      <t>Преход</t>
    </r>
  </si>
  <si>
    <r>
      <rPr>
        <i/>
        <sz val="9"/>
        <color theme="1"/>
        <rFont val="Times New Roman"/>
        <family val="1"/>
        <charset val="204"/>
      </rPr>
      <t>По-слабо развити региони</t>
    </r>
  </si>
  <si>
    <r>
      <rPr>
        <sz val="9"/>
        <color theme="1"/>
        <rFont val="Times New Roman"/>
        <family val="1"/>
        <charset val="204"/>
      </rPr>
      <t xml:space="preserve">(О1-14‭) </t>
    </r>
    <r>
      <rPr>
        <sz val="9"/>
        <color theme="1"/>
        <rFont val="Times New Roman"/>
        <family val="1"/>
        <charset val="204"/>
      </rPr>
      <t>‬</t>
    </r>
    <r>
      <rPr>
        <b/>
        <sz val="9"/>
        <color theme="1"/>
        <rFont val="Times New Roman"/>
        <family val="2"/>
        <charset val="204"/>
      </rPr>
      <t xml:space="preserve">Информационни събития‭ </t>
    </r>
  </si>
  <si>
    <r>
      <rPr>
        <i/>
        <sz val="9"/>
        <color theme="1"/>
        <rFont val="Times New Roman"/>
        <family val="1"/>
        <charset val="204"/>
      </rPr>
      <t>брой</t>
    </r>
  </si>
  <si>
    <r>
      <rPr>
        <sz val="9"/>
        <color theme="1"/>
        <rFont val="Times New Roman"/>
        <family val="1"/>
        <charset val="204"/>
      </rPr>
      <t>Брой информационни събития, проведени от бенефициентите на програмата за популяризиране на ПС на ЕС.</t>
    </r>
  </si>
  <si>
    <r>
      <rPr>
        <sz val="9"/>
        <color theme="1"/>
        <rFont val="Times New Roman"/>
        <family val="1"/>
        <charset val="204"/>
      </rPr>
      <t xml:space="preserve">Всеки бенефициент предоставя текуща информация за проведените информационни събития (информационни дни, събития,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в рамките на отчетния период.
Показателят се изчислява кумулативно.
</t>
    </r>
  </si>
  <si>
    <r>
      <rPr>
        <sz val="9"/>
        <rFont val="Times New Roman"/>
        <family val="1"/>
        <charset val="204"/>
      </rPr>
      <t xml:space="preserve">Провеждане на информационни събития (на живо или онлайн, публични информационни събития, пресконференции, семинари и др.) с цел популяризиране на възможностите, предоставени от европейските фондове, на по-широк кръг от заинтересовани страни.
</t>
    </r>
  </si>
  <si>
    <r>
      <rPr>
        <sz val="9"/>
        <rFont val="Times New Roman"/>
        <family val="1"/>
        <charset val="204"/>
      </rPr>
      <t>Осигуряване на информираност за европейските фондове.</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</si>
  <si>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</si>
  <si>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</si>
  <si>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(О1-15‭) ‬Информационни материали‭</t>
    </r>
  </si>
  <si>
    <r>
      <rPr>
        <i/>
        <sz val="9"/>
        <color theme="1"/>
        <rFont val="Times New Roman"/>
        <family val="1"/>
        <charset val="204"/>
      </rPr>
      <t>брой</t>
    </r>
  </si>
  <si>
    <r>
      <rPr>
        <sz val="9"/>
        <color theme="1"/>
        <rFont val="Times New Roman"/>
        <family val="1"/>
        <charset val="204"/>
      </rPr>
      <t>Брой уникални по вид и съдържание информационни материали, разработени за нуждите на централните и териториалните администрации, бенефициентите на програмата, крайните бенефициенти и/или широката общественост.</t>
    </r>
  </si>
  <si>
    <r>
      <rPr>
        <sz val="9"/>
        <color theme="1"/>
        <rFont val="Times New Roman"/>
        <family val="1"/>
        <charset val="204"/>
      </rPr>
      <t>Всеки бенефициент предоставя текуща информация за изготвените уникални по вид и съдържание информационни материали (печатни, аудиовизуални и електронни) в рамките на отчетния период.</t>
    </r>
    <r>
      <rPr>
        <i/>
        <sz val="9"/>
        <color theme="1"/>
        <rFont val="Times New Roman"/>
        <family val="2"/>
        <charset val="204"/>
      </rPr>
      <t xml:space="preserve">
Например: 
- при отпечатване на два материала от един и същи вид, но с различно съдържание, стойността на показателя се увеличава с две, но ако е необходим допълнителен тираж без промяна на съдържанието, стойността на показателя не се увеличава.
- при изготвяне на телевизионни клипове/ спотове, стойността на показателя се увеличава с броя на направените клипове/ спотове.
</t>
    </r>
    <r>
      <rPr>
        <sz val="9"/>
        <color theme="1"/>
        <rFont val="Times New Roman"/>
        <family val="2"/>
        <charset val="204"/>
      </rPr>
      <t xml:space="preserve">Показателят се изчислява кумулативно.
Въз основа на исторически данни от програмния период 2014-2020 г. беше направено предположение за 2 вида информационни материали годишно за всеки ОИЦ, както и 1 годишно за ЦКЗ и УО на ПЪП.
</t>
    </r>
  </si>
  <si>
    <r>
      <rPr>
        <sz val="9"/>
        <rFont val="Times New Roman"/>
        <family val="1"/>
        <charset val="204"/>
      </rPr>
      <t>Осигуряване на информираност за европейските фондове.</t>
    </r>
  </si>
  <si>
    <r>
      <rPr>
        <i/>
        <sz val="9"/>
        <color theme="1"/>
        <rFont val="Times New Roman"/>
        <family val="1"/>
        <charset val="204"/>
      </rPr>
      <t>Преход</t>
    </r>
  </si>
  <si>
    <r>
      <rPr>
        <i/>
        <sz val="9"/>
        <color theme="1"/>
        <rFont val="Times New Roman"/>
        <family val="1"/>
        <charset val="204"/>
      </rPr>
      <t>По-слабо развити региони</t>
    </r>
  </si>
  <si>
    <r>
      <rPr>
        <b/>
        <sz val="9"/>
        <rFont val="Times New Roman"/>
        <family val="1"/>
        <charset val="204"/>
      </rPr>
      <t>(О1-16‭) ‬Уникални посещения на eufunds.bg годишно</t>
    </r>
  </si>
  <si>
    <r>
      <rPr>
        <i/>
        <sz val="9"/>
        <color theme="1"/>
        <rFont val="Times New Roman"/>
        <family val="1"/>
        <charset val="204"/>
      </rPr>
      <t>брой</t>
    </r>
  </si>
  <si>
    <r>
      <rPr>
        <sz val="9"/>
        <rFont val="Times New Roman"/>
        <family val="1"/>
        <charset val="204"/>
      </rPr>
      <t>Брой уникални посещения на eufunds.bg на годишна база.</t>
    </r>
  </si>
  <si>
    <r>
      <rPr>
        <sz val="9"/>
        <rFont val="Times New Roman"/>
        <family val="1"/>
        <charset val="204"/>
      </rPr>
      <t>Бенефициентът, поддържащ информационния портал, предоставя на УО информация за броя уникални посещения на eufunds.bg годишно, през отчетната година.
Целевата стойност се отнася до броя уникални посещения на eufunds.bg през 2030 г.
Въз основа на исторически данни от програмния период 2014-2020 г. беше направено предположение за поддържане на интереса към Информационния портал и поддържане на броя на уникалните посещения на годишна база за периода 2022-2030 г., тъй като има повишен интерес в началото на програмният период, който намалява в края на периода.</t>
    </r>
  </si>
  <si>
    <r>
      <rPr>
        <sz val="9"/>
        <rFont val="Times New Roman"/>
        <family val="1"/>
        <charset val="204"/>
      </rPr>
      <t>Осигуряване на надеждно, единно място за комуникация за европейските фондове и осигуряване на прозрачност при разходването на средства от ЕС през програмния период</t>
    </r>
  </si>
  <si>
    <r>
      <rPr>
        <i/>
        <sz val="9"/>
        <color theme="1"/>
        <rFont val="Times New Roman"/>
        <family val="1"/>
        <charset val="204"/>
      </rPr>
      <t>Преход</t>
    </r>
  </si>
  <si>
    <r>
      <rPr>
        <i/>
        <sz val="9"/>
        <color theme="1"/>
        <rFont val="Times New Roman"/>
        <family val="1"/>
        <charset val="204"/>
      </rPr>
      <t>По-слабо развити региони</t>
    </r>
  </si>
  <si>
    <r>
      <rPr>
        <b/>
        <sz val="9"/>
        <rFont val="Times New Roman"/>
        <family val="1"/>
        <charset val="204"/>
      </rPr>
      <t>(О1-17) Импресии в социалните мрежи и платформи</t>
    </r>
  </si>
  <si>
    <r>
      <rPr>
        <i/>
        <sz val="9"/>
        <color theme="1"/>
        <rFont val="Times New Roman"/>
        <family val="1"/>
        <charset val="204"/>
      </rPr>
      <t>брой</t>
    </r>
  </si>
  <si>
    <r>
      <rPr>
        <sz val="9"/>
        <rFont val="Times New Roman"/>
        <family val="1"/>
        <charset val="204"/>
      </rPr>
      <t>Всеки бенефициент предоставя обобщена информация за броя на импресиите, постигнати във всички акаунти в социалните медии, управлявани от него през отчетния период.
Показателят се изчислява кумулативно.</t>
    </r>
  </si>
  <si>
    <r>
      <rPr>
        <sz val="9"/>
        <rFont val="Times New Roman"/>
        <family val="1"/>
        <charset val="204"/>
      </rPr>
      <t xml:space="preserve">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r>
  </si>
  <si>
    <r>
      <rPr>
        <sz val="9"/>
        <rFont val="Times New Roman"/>
        <family val="1"/>
        <charset val="204"/>
      </rPr>
      <t>Достигане до информация, свързана с европейските фондове до по-голям брой потребители на социални медии.</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</si>
  <si>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</si>
  <si>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</si>
  <si>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 xml:space="preserve">(О1-18) Ниво на информираност за европейските фондове сред широката общественост
</t>
    </r>
  </si>
  <si>
    <r>
      <rPr>
        <i/>
        <sz val="9"/>
        <color theme="1"/>
        <rFont val="Times New Roman"/>
        <family val="1"/>
        <charset val="204"/>
      </rPr>
      <t>%</t>
    </r>
  </si>
  <si>
    <r>
      <rPr>
        <sz val="9"/>
        <rFont val="Times New Roman"/>
        <family val="1"/>
        <charset val="204"/>
      </rPr>
      <t>Информираността за европейските фондове в България означава самооценка на респондентите относно познаването на проектите/дейностите, които се финансират/ изпълняват по програмите, финансирани от ЕК, и/или за източниците на финансиране на програмите.</t>
    </r>
  </si>
  <si>
    <r>
      <rPr>
        <sz val="9"/>
        <rFont val="Times New Roman"/>
        <family val="1"/>
        <charset val="204"/>
      </rPr>
      <t>Самооценка на анкетираните български граждани на възраст над 15 години се отчита чрез национално представително социологическо проучване.
Изследването се провежда най-малко два пъти по време на програмния период, следвайки единна методология, която позволява сравнимост на данните.
Въз основа на исторически данни от програмния период 2014-2020 г. беше направено предположение за поддържане на нивото на информираност, което е високо в сравнение с останалите държави членки на ЕС.</t>
    </r>
  </si>
  <si>
    <r>
      <rPr>
        <sz val="9"/>
        <rFont val="Times New Roman"/>
        <family val="1"/>
        <charset val="204"/>
      </rPr>
      <t xml:space="preserve">Организиране на информационни събития, подготовка и разпространение на информационни материали, поддържане на Единния информационен портал www.eufunds.bg и Информационната система за управление и наблюдение (ИСУН), профили в социалните мрежи и всички действия за повишаване на осведомеността за европейските фондове сред широката общественост.
</t>
    </r>
  </si>
  <si>
    <r>
      <rPr>
        <sz val="9"/>
        <rFont val="Times New Roman"/>
        <family val="1"/>
        <charset val="204"/>
      </rPr>
      <t>Поддържане на ниво на информираност за европейските фондове сред широката общественост.</t>
    </r>
  </si>
  <si>
    <r>
      <rPr>
        <i/>
        <sz val="9"/>
        <color theme="1"/>
        <rFont val="Times New Roman"/>
        <family val="1"/>
        <charset val="204"/>
      </rPr>
      <t>Преход</t>
    </r>
  </si>
  <si>
    <r>
      <rPr>
        <i/>
        <sz val="9"/>
        <color theme="1"/>
        <rFont val="Times New Roman"/>
        <family val="1"/>
        <charset val="204"/>
      </rPr>
      <t>По-слабо развити региони</t>
    </r>
  </si>
  <si>
    <r>
      <rPr>
        <b/>
        <sz val="9"/>
        <color theme="1"/>
        <rFont val="Times New Roman"/>
        <family val="1"/>
        <charset val="204"/>
      </rPr>
      <t>Стойност на кодове за интервенция (европейско финансиране) (EUR)</t>
    </r>
  </si>
  <si>
    <r>
      <rPr>
        <b/>
        <sz val="9"/>
        <color theme="1"/>
        <rFont val="Times New Roman"/>
        <family val="1"/>
        <charset val="204"/>
      </rPr>
      <t>ОБЩО (европейско + национално съфинансиране) (BGN)</t>
    </r>
  </si>
  <si>
    <r>
      <rPr>
        <b/>
        <sz val="9"/>
        <color theme="1"/>
        <rFont val="Times New Roman"/>
        <family val="1"/>
        <charset val="204"/>
      </rPr>
      <t>Общо</t>
    </r>
  </si>
  <si>
    <r>
      <rPr>
        <sz val="9"/>
        <color theme="1"/>
        <rFont val="Times New Roman"/>
        <family val="1"/>
        <charset val="204"/>
      </rPr>
      <t>140 - Преход</t>
    </r>
  </si>
  <si>
    <r>
      <rPr>
        <sz val="9"/>
        <color theme="1"/>
        <rFont val="Times New Roman"/>
        <family val="1"/>
        <charset val="204"/>
      </rPr>
      <t>140 - По-слабо развити</t>
    </r>
  </si>
  <si>
    <r>
      <rPr>
        <sz val="9"/>
        <color theme="1"/>
        <rFont val="Times New Roman"/>
        <family val="1"/>
        <charset val="204"/>
      </rPr>
      <t>141 - Преход</t>
    </r>
  </si>
  <si>
    <r>
      <rPr>
        <sz val="9"/>
        <color theme="1"/>
        <rFont val="Times New Roman"/>
        <family val="1"/>
        <charset val="204"/>
      </rPr>
      <t>141 - По-слабо развити</t>
    </r>
  </si>
  <si>
    <r>
      <rPr>
        <sz val="9"/>
        <color theme="1"/>
        <rFont val="Times New Roman"/>
        <family val="1"/>
        <charset val="204"/>
      </rPr>
      <t>142 - Преход</t>
    </r>
  </si>
  <si>
    <r>
      <rPr>
        <sz val="9"/>
        <color theme="1"/>
        <rFont val="Times New Roman"/>
        <family val="1"/>
        <charset val="204"/>
      </rPr>
      <t>142 - По-слабо развити</t>
    </r>
  </si>
  <si>
    <r>
      <rPr>
        <sz val="9"/>
        <color theme="1"/>
        <rFont val="Times New Roman"/>
        <family val="1"/>
        <charset val="204"/>
      </rPr>
      <t>143 - Преход</t>
    </r>
  </si>
  <si>
    <r>
      <rPr>
        <sz val="9"/>
        <color theme="1"/>
        <rFont val="Times New Roman"/>
        <family val="1"/>
        <charset val="204"/>
      </rPr>
      <t>143 - По-слабо развити</t>
    </r>
  </si>
  <si>
    <r>
      <rPr>
        <b/>
        <sz val="9"/>
        <color theme="1"/>
        <rFont val="Times New Roman"/>
        <family val="1"/>
        <charset val="204"/>
      </rPr>
      <t>Общо</t>
    </r>
  </si>
  <si>
    <r>
      <rPr>
        <b/>
        <sz val="11"/>
        <color theme="1"/>
        <rFont val="Times New Roman"/>
        <family val="1"/>
        <charset val="204"/>
      </rPr>
      <t>Идентификационен номер</t>
    </r>
  </si>
  <si>
    <r>
      <rPr>
        <b/>
        <sz val="11"/>
        <color theme="1"/>
        <rFont val="Times New Roman"/>
        <family val="1"/>
        <charset val="204"/>
      </rPr>
      <t>Бенефициенти и заинтересовани страни, допринасящи за постигането на показатели:
Показатели:</t>
    </r>
  </si>
  <si>
    <r>
      <rPr>
        <b/>
        <sz val="11"/>
        <color theme="1"/>
        <rFont val="Times New Roman"/>
        <family val="1"/>
        <charset val="204"/>
      </rPr>
      <t>Етапна цел (2024)</t>
    </r>
  </si>
  <si>
    <r>
      <rPr>
        <b/>
        <sz val="11"/>
        <color theme="1"/>
        <rFont val="Times New Roman"/>
        <family val="1"/>
        <charset val="204"/>
      </rPr>
      <t>Цел (2030)</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</si>
  <si>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</si>
  <si>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</si>
  <si>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</si>
  <si>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</si>
  <si>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</si>
  <si>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 xml:space="preserve">НРПД </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</si>
  <si>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</si>
  <si>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</si>
  <si>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</si>
  <si>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</si>
  <si>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</si>
  <si>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</si>
  <si>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</si>
  <si>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</si>
  <si>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</si>
  <si>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</si>
  <si>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</si>
  <si>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НРПД</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</si>
  <si>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</si>
  <si>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</si>
  <si>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</si>
  <si>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</si>
  <si>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</si>
  <si>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</si>
  <si>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11.5"/>
        <color theme="1"/>
        <rFont val="Times New Roman"/>
        <family val="1"/>
        <charset val="204"/>
      </rPr>
      <t xml:space="preserve">(О1-1) </t>
    </r>
  </si>
  <si>
    <r>
      <rPr>
        <sz val="11.5"/>
        <color theme="1"/>
        <rFont val="Times New Roman"/>
        <family val="1"/>
        <charset val="204"/>
      </rPr>
      <t>Аналитични и оценителни доклади и стратегически документи</t>
    </r>
  </si>
  <si>
    <r>
      <rPr>
        <sz val="11.5"/>
        <color theme="1"/>
        <rFont val="Times New Roman"/>
        <family val="1"/>
        <charset val="204"/>
      </rPr>
      <t>(О1-2)</t>
    </r>
  </si>
  <si>
    <r>
      <rPr>
        <sz val="11.5"/>
        <color theme="1"/>
        <rFont val="Times New Roman"/>
        <family val="1"/>
        <charset val="204"/>
      </rPr>
      <t>(О1-3)</t>
    </r>
  </si>
  <si>
    <r>
      <rPr>
        <sz val="11.5"/>
        <color theme="1"/>
        <rFont val="Times New Roman"/>
        <family val="1"/>
        <charset val="204"/>
      </rPr>
      <t xml:space="preserve">(О1-4) </t>
    </r>
  </si>
  <si>
    <r>
      <rPr>
        <sz val="11.5"/>
        <color theme="1"/>
        <rFont val="Times New Roman"/>
        <family val="1"/>
        <charset val="204"/>
      </rPr>
      <t xml:space="preserve">(О1-5) </t>
    </r>
  </si>
  <si>
    <r>
      <rPr>
        <sz val="11.5"/>
        <color theme="1"/>
        <rFont val="Times New Roman"/>
        <family val="1"/>
        <charset val="204"/>
      </rPr>
      <t>(О1-6)</t>
    </r>
  </si>
  <si>
    <r>
      <rPr>
        <sz val="11.5"/>
        <color theme="1"/>
        <rFont val="Times New Roman"/>
        <family val="1"/>
        <charset val="204"/>
      </rPr>
      <t>(О1-7)</t>
    </r>
  </si>
  <si>
    <r>
      <rPr>
        <sz val="11.5"/>
        <color theme="1"/>
        <rFont val="Times New Roman"/>
        <family val="1"/>
        <charset val="204"/>
      </rPr>
      <t>(О1-8)</t>
    </r>
  </si>
  <si>
    <r>
      <rPr>
        <sz val="11.5"/>
        <color theme="1"/>
        <rFont val="Times New Roman"/>
        <family val="1"/>
        <charset val="204"/>
      </rPr>
      <t>Избрани външни оценители на проекти</t>
    </r>
  </si>
  <si>
    <r>
      <rPr>
        <sz val="11.5"/>
        <color theme="1"/>
        <rFont val="Times New Roman"/>
        <family val="1"/>
        <charset val="204"/>
      </rPr>
      <t>(О1-9)</t>
    </r>
  </si>
  <si>
    <r>
      <rPr>
        <sz val="11.5"/>
        <color theme="1"/>
        <rFont val="Times New Roman"/>
        <family val="1"/>
        <charset val="204"/>
      </rPr>
      <t>Подкрепени партньорски организации</t>
    </r>
  </si>
  <si>
    <r>
      <rPr>
        <sz val="11.5"/>
        <color theme="1"/>
        <rFont val="Times New Roman"/>
        <family val="1"/>
        <charset val="204"/>
      </rPr>
      <t>(О1-10)</t>
    </r>
  </si>
  <si>
    <r>
      <rPr>
        <sz val="11.5"/>
        <color theme="1"/>
        <rFont val="Times New Roman"/>
        <family val="1"/>
        <charset val="204"/>
      </rPr>
      <t>Проверки и одити, извършвани от одитиращи и/или контролни органи</t>
    </r>
  </si>
  <si>
    <r>
      <rPr>
        <sz val="11.5"/>
        <color theme="1"/>
        <rFont val="Times New Roman"/>
        <family val="1"/>
        <charset val="204"/>
      </rPr>
      <t xml:space="preserve">(О1-11) </t>
    </r>
  </si>
  <si>
    <r>
      <rPr>
        <sz val="11.5"/>
        <color theme="1"/>
        <rFont val="Times New Roman"/>
        <family val="1"/>
        <charset val="204"/>
      </rPr>
      <t>Нови функционалности на ИСУН</t>
    </r>
  </si>
  <si>
    <r>
      <rPr>
        <sz val="11.5"/>
        <color theme="1"/>
        <rFont val="Times New Roman"/>
        <family val="1"/>
        <charset val="204"/>
      </rPr>
      <t xml:space="preserve">(O1-12) </t>
    </r>
  </si>
  <si>
    <r>
      <rPr>
        <sz val="11.5"/>
        <color theme="1"/>
        <rFont val="Times New Roman"/>
        <family val="1"/>
        <charset val="204"/>
      </rPr>
      <t xml:space="preserve">(O1-13) </t>
    </r>
  </si>
  <si>
    <r>
      <rPr>
        <sz val="11.5"/>
        <color theme="1"/>
        <rFont val="Times New Roman"/>
        <family val="1"/>
        <charset val="204"/>
      </rPr>
      <t>Намалена административна тежест за кандидатите</t>
    </r>
  </si>
  <si>
    <r>
      <rPr>
        <sz val="11.5"/>
        <color theme="1"/>
        <rFont val="Times New Roman"/>
        <family val="1"/>
        <charset val="204"/>
      </rPr>
      <t xml:space="preserve">(О1-14) </t>
    </r>
  </si>
  <si>
    <r>
      <rPr>
        <sz val="11.5"/>
        <color theme="1"/>
        <rFont val="Times New Roman"/>
        <family val="1"/>
        <charset val="204"/>
      </rPr>
      <t xml:space="preserve">Информационни събития </t>
    </r>
  </si>
  <si>
    <r>
      <rPr>
        <sz val="11.5"/>
        <color theme="1"/>
        <rFont val="Times New Roman"/>
        <family val="1"/>
        <charset val="204"/>
      </rPr>
      <t xml:space="preserve">(О1-15) </t>
    </r>
  </si>
  <si>
    <r>
      <rPr>
        <sz val="11.5"/>
        <color theme="1"/>
        <rFont val="Times New Roman"/>
        <family val="1"/>
        <charset val="204"/>
      </rPr>
      <t>Информационни материали</t>
    </r>
  </si>
  <si>
    <r>
      <rPr>
        <sz val="11.5"/>
        <color theme="1"/>
        <rFont val="Times New Roman"/>
        <family val="1"/>
        <charset val="204"/>
      </rPr>
      <t xml:space="preserve">(О1-16)  </t>
    </r>
  </si>
  <si>
    <r>
      <rPr>
        <sz val="11.5"/>
        <color theme="1"/>
        <rFont val="Times New Roman"/>
        <family val="1"/>
        <charset val="204"/>
      </rPr>
      <t>Уникални посещения на eufunds.bg годишно</t>
    </r>
  </si>
  <si>
    <r>
      <rPr>
        <sz val="11.5"/>
        <color theme="1"/>
        <rFont val="Times New Roman"/>
        <family val="1"/>
        <charset val="204"/>
      </rPr>
      <t xml:space="preserve">(О1-17)  </t>
    </r>
  </si>
  <si>
    <r>
      <rPr>
        <sz val="11.5"/>
        <color theme="1"/>
        <rFont val="Times New Roman"/>
        <family val="1"/>
        <charset val="204"/>
      </rPr>
      <t>Импресии в социалните мрежи и платформи</t>
    </r>
  </si>
  <si>
    <r>
      <rPr>
        <sz val="11.5"/>
        <color theme="1"/>
        <rFont val="Times New Roman"/>
        <family val="1"/>
        <charset val="204"/>
      </rPr>
      <t xml:space="preserve">(O1-18) </t>
    </r>
  </si>
  <si>
    <r>
      <rPr>
        <sz val="11.5"/>
        <color theme="1"/>
        <rFont val="Times New Roman"/>
        <family val="1"/>
        <charset val="204"/>
      </rPr>
      <t xml:space="preserve">Ниво на информираност за европейските фондове сред широката общественост
</t>
    </r>
  </si>
  <si>
    <r>
      <rPr>
        <sz val="11"/>
        <color theme="1"/>
        <rFont val="Times New Roman"/>
        <family val="1"/>
        <charset val="204"/>
      </rPr>
      <t>Програма за развитие на регионите</t>
    </r>
  </si>
  <si>
    <r>
      <rPr>
        <sz val="11"/>
        <color theme="1"/>
        <rFont val="Times New Roman"/>
        <family val="1"/>
        <charset val="204"/>
      </rPr>
      <t>Програма за храни и основно материално подпомагане</t>
    </r>
  </si>
  <si>
    <r>
      <rPr>
        <sz val="11"/>
        <color theme="1"/>
        <rFont val="Times New Roman"/>
        <family val="1"/>
        <charset val="204"/>
      </rPr>
      <t>Програма за околна среда</t>
    </r>
  </si>
  <si>
    <r>
      <rPr>
        <sz val="11"/>
        <color theme="1"/>
        <rFont val="Times New Roman"/>
        <family val="1"/>
        <charset val="204"/>
      </rPr>
      <t xml:space="preserve">Програма за образование </t>
    </r>
  </si>
  <si>
    <r>
      <rPr>
        <sz val="11"/>
        <color theme="1"/>
        <rFont val="Times New Roman"/>
        <family val="1"/>
        <charset val="204"/>
      </rPr>
      <t>Програма за конкурентоспособност и иновации в предприятията</t>
    </r>
  </si>
  <si>
    <r>
      <rPr>
        <sz val="11"/>
        <color theme="1"/>
        <rFont val="Times New Roman"/>
        <family val="1"/>
        <charset val="204"/>
      </rPr>
      <t>Програма за развитие на човешките ресурси</t>
    </r>
  </si>
  <si>
    <r>
      <rPr>
        <sz val="11"/>
        <color theme="1"/>
        <rFont val="Times New Roman"/>
        <family val="1"/>
        <charset val="204"/>
      </rPr>
      <t>Програма за научни изследвания, иновации и дигитализация за интелигентна трансформация</t>
    </r>
  </si>
  <si>
    <r>
      <rPr>
        <b/>
        <sz val="11"/>
        <color theme="1"/>
        <rFont val="Times New Roman"/>
        <family val="1"/>
        <charset val="204"/>
      </rPr>
      <t>Общо</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</si>
  <si>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</si>
  <si>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</si>
  <si>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</si>
  <si>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</si>
  <si>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</si>
  <si>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</si>
  <si>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</si>
  <si>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</si>
  <si>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</si>
  <si>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</si>
  <si>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</si>
  <si>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</si>
  <si>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</si>
  <si>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</si>
  <si>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0"/>
        <color theme="1"/>
        <rFont val="Times New Roman"/>
        <family val="1"/>
        <charset val="204"/>
      </rPr>
      <t>Етапна цел (2024)</t>
    </r>
  </si>
  <si>
    <r>
      <rPr>
        <sz val="10"/>
        <color theme="1"/>
        <rFont val="Times New Roman"/>
        <family val="1"/>
        <charset val="204"/>
      </rPr>
      <t>Цел
(2030)</t>
    </r>
  </si>
  <si>
    <r>
      <rPr>
        <sz val="11"/>
        <color theme="1"/>
        <rFont val="Times New Roman"/>
        <family val="1"/>
        <charset val="204"/>
      </rPr>
      <t>По-добро разбиране на одита
(целева група: УО)</t>
    </r>
  </si>
  <si>
    <r>
      <rPr>
        <sz val="11"/>
        <color theme="1"/>
        <rFont val="Times New Roman"/>
        <family val="1"/>
        <charset val="204"/>
      </rPr>
      <t>Обществени поръчки
(целева група: УО)</t>
    </r>
  </si>
  <si>
    <r>
      <rPr>
        <sz val="11"/>
        <color theme="1"/>
        <rFont val="Times New Roman"/>
        <family val="1"/>
        <charset val="204"/>
      </rPr>
      <t>Обществени поръчки
(целева група: бенефициенти и външни заинтересовани страни)</t>
    </r>
  </si>
  <si>
    <r>
      <rPr>
        <sz val="11"/>
        <color theme="1"/>
        <rFont val="Times New Roman"/>
        <family val="1"/>
        <charset val="204"/>
      </rPr>
      <t>Държавна помощ
(целева група: УО)</t>
    </r>
  </si>
  <si>
    <r>
      <rPr>
        <sz val="11"/>
        <color theme="1"/>
        <rFont val="Times New Roman"/>
        <family val="1"/>
        <charset val="204"/>
      </rPr>
      <t>Държавни помощи
(целева група: бенефициенти и външни заинтересовани страни)</t>
    </r>
  </si>
  <si>
    <r>
      <rPr>
        <sz val="11"/>
        <color theme="1"/>
        <rFont val="Times New Roman"/>
        <family val="1"/>
        <charset val="204"/>
      </rPr>
      <t>Борба с нередности и измами
(целева група: УО)</t>
    </r>
  </si>
  <si>
    <r>
      <rPr>
        <i/>
        <sz val="11"/>
        <color theme="1"/>
        <rFont val="Calibri"/>
        <family val="2"/>
        <charset val="204"/>
      </rPr>
      <t>*</t>
    </r>
  </si>
  <si>
    <t>КОНЦЕПЦИЯ ЗА  ПРОГРАМА "НАУКА И ОБРАЗОВАНИЕ" 2021-2027 Г.</t>
  </si>
  <si>
    <t>Разпределение на финансовия ресурс по ПО 1</t>
  </si>
  <si>
    <t>Група дейности</t>
  </si>
  <si>
    <t>ФИ ЕС</t>
  </si>
  <si>
    <t>БФП+ФИ ЕС</t>
  </si>
  <si>
    <t>БФП+ФИ</t>
  </si>
  <si>
    <t>Бюджет в евро ЕС</t>
  </si>
  <si>
    <t>Бюджет в евро</t>
  </si>
  <si>
    <t>Бюджет в лева</t>
  </si>
  <si>
    <t>Начин на изпълнение</t>
  </si>
  <si>
    <t>% Разпределение от ПО1</t>
  </si>
  <si>
    <t>% за Хоризонт</t>
  </si>
  <si>
    <t>бюджет ПO 1 общо</t>
  </si>
  <si>
    <t>финасови инструменти (20%)</t>
  </si>
  <si>
    <t>БФП остатък бюджет ПO 1</t>
  </si>
  <si>
    <t>бюджет инфраструктура и оборудване (70%)</t>
  </si>
  <si>
    <t>бюджет научни изследвания (30%)</t>
  </si>
  <si>
    <t>ПО 1 Научна инфраструктура и изследвания (ЕФРР)</t>
  </si>
  <si>
    <t>Хоризонт Европа - инфраструктура и seal of excellence - инфраструктура, оборудване и изследвания</t>
  </si>
  <si>
    <t>Директно предоставяне</t>
  </si>
  <si>
    <t>Центрове за върхови постижения и Центрове за компетентност - инфраструктура, оборудване и научни изследвания (Директно предоставяне)</t>
  </si>
  <si>
    <t>Директно предоставяне</t>
  </si>
  <si>
    <t xml:space="preserve">Научни изследвания </t>
  </si>
  <si>
    <t>Конкретен бенефициент или Междинно звено за подбор на проекти/ АНИ (Агенция за наука и иновации )</t>
  </si>
  <si>
    <t>Финансови иснтрументи - заеми, гаранции, рисков капитал</t>
  </si>
  <si>
    <t>Фонд на фондовете/фонд за технологичен трансфер</t>
  </si>
  <si>
    <t>Общо за приоритетната ос</t>
  </si>
  <si>
    <t>ПО 2 Модернизация и качество на образованието (ЕСФ+)</t>
  </si>
  <si>
    <t>% Разпределение от ПО2</t>
  </si>
  <si>
    <t>бюджет ПО 2 общо</t>
  </si>
  <si>
    <t xml:space="preserve">Териториален иснтрумент </t>
  </si>
  <si>
    <t>Директно предоставяне</t>
  </si>
  <si>
    <t>Конкурентен подбор</t>
  </si>
  <si>
    <t>Качество в училищното образованието+ квалификация на педаг. спец. (промяна на уч. програми и методи на преподаване, нови умения на учениците и пед. Специалисти, мобилност)</t>
  </si>
  <si>
    <t>Директно предоставяне на МОН</t>
  </si>
  <si>
    <t>Модернизация на образованието/ ИКТ+ квалификация на педаг. спец. (иновации, дигитални ресурси, интерактивно съдържание, дигитална креативност, нови умения на учениците и пед. Специалисти, граждански ценности)</t>
  </si>
  <si>
    <t>Директно предоставяне на МОН</t>
  </si>
  <si>
    <t>Допълняемост с централно управлявани инструменти - Еразъм +, Хоризонт Европа, Мария Кюри</t>
  </si>
  <si>
    <t>Директно предоставяне на МОН</t>
  </si>
  <si>
    <t>Валидиране на знания и умения, професионални центрове за върхови постижения, учебно тренировъчни фирми, ученически практики</t>
  </si>
  <si>
    <t>Процедура на подбор с браншови организации</t>
  </si>
  <si>
    <t>Студентски практики (връзка с пазара на труда)</t>
  </si>
  <si>
    <t>Процедура на подбор висши училища</t>
  </si>
  <si>
    <t>Висше образование (дигитализация, подобряване качеството на управление и преподаване, учебни програми, връзка с пазара на труда, участие в международни мрежи, мобилност)</t>
  </si>
  <si>
    <t>Процедура на подбор висши училища</t>
  </si>
  <si>
    <r>
      <rPr>
        <b/>
        <sz val="12"/>
        <color theme="1"/>
        <rFont val="Candara"/>
        <family val="2"/>
        <charset val="204"/>
      </rPr>
      <t>Интегрирани териториални инвестиции (ИТИ)</t>
    </r>
    <r>
      <rPr>
        <sz val="12"/>
        <color theme="1"/>
        <rFont val="Candara"/>
        <family val="2"/>
        <charset val="204"/>
      </rPr>
      <t xml:space="preserve"> Професионално образование и обучение +квалификация на педаг. спец. (връзка с пазара на труда, ЦПО, дуална система на обучение, ученически практики)</t>
    </r>
  </si>
  <si>
    <t>Процедура на подбор</t>
  </si>
  <si>
    <t>Общо за приоритетната ос</t>
  </si>
  <si>
    <t xml:space="preserve">ПО 3 Приобщаващо образование (ЕСФ+)
</t>
  </si>
  <si>
    <t>% Разпределение от ПО2</t>
  </si>
  <si>
    <t>бюджет ПО 2 общо</t>
  </si>
  <si>
    <t xml:space="preserve">Териториален иснтрумент </t>
  </si>
  <si>
    <t>Директно предоставяне</t>
  </si>
  <si>
    <t>Конкурентен подбор</t>
  </si>
  <si>
    <t xml:space="preserve">Намаляване на преждевременно напусналите училище (обща подкрепа за личностно развитие, десегрегация,  ученици с пропуски в усвояването на уч. материал, ученици в риск от отпадане от обр. система) </t>
  </si>
  <si>
    <t>Директно предоставяне на МОН</t>
  </si>
  <si>
    <t>Активно приобщаване в предучилищно образование (обхват на децата, разработване на специализирани методики, педагогическа, психологическа и социална подкрепа на деца от уязвими социално слаби групи, промяна на уч. програми и методи на преподаване)</t>
  </si>
  <si>
    <t>Директно предоставяне на МОН</t>
  </si>
  <si>
    <t>Включващо обучение (подпомагане на младежи с увреждания и от уязвими социално слаби групи за кандидатстване във висши училища, алтернативни модели за работа с ученици с девиантно поведение, развитие на подкрепяща среда за деца и ученици със СОП)</t>
  </si>
  <si>
    <t>Директно предоставяне на МОН</t>
  </si>
  <si>
    <t>Талантливи деца и ученици с изявени дарби</t>
  </si>
  <si>
    <t>Директно предоставяне на МОН</t>
  </si>
  <si>
    <t xml:space="preserve">Ограмотяване на възрастни </t>
  </si>
  <si>
    <t>Процедура на подбор</t>
  </si>
  <si>
    <t>Проходимост на уязвими групи в отделните образователни етапи и достъп до висше образование.</t>
  </si>
  <si>
    <t>Процедура на подбор</t>
  </si>
  <si>
    <r>
      <rPr>
        <b/>
        <sz val="12"/>
        <color theme="1"/>
        <rFont val="Candara"/>
        <family val="2"/>
        <charset val="204"/>
      </rPr>
      <t>ВОМР -</t>
    </r>
    <r>
      <rPr>
        <sz val="12"/>
        <color theme="1"/>
        <rFont val="Candara"/>
        <family val="2"/>
        <charset val="204"/>
      </rPr>
      <t xml:space="preserve"> Работа с родители от уязвими групи (работа с родителите на децата в риск от ранно отпадане чрез включване на представители на неправителствени организации, образователни медиатори, социални работници, ромски авторитети и лидери, насърчаване на сътрудничеството с педагогическите специалисти)</t>
    </r>
  </si>
  <si>
    <t>Процедура на подбор</t>
  </si>
  <si>
    <t>бюджет ЕСФ общо</t>
  </si>
  <si>
    <t xml:space="preserve">Териториален иснтрумент </t>
  </si>
  <si>
    <t>Директно предоставяне</t>
  </si>
  <si>
    <t>Конкурентен подбор</t>
  </si>
  <si>
    <t>Общо за приоритетната ос</t>
  </si>
  <si>
    <t xml:space="preserve">ПО4 Техническа помощ (ЕСФ+)
</t>
  </si>
  <si>
    <t>Общо за приоритетната ос</t>
  </si>
  <si>
    <t>Общо за ЕСФ</t>
  </si>
  <si>
    <t>бюджет ОПНО общо</t>
  </si>
  <si>
    <t xml:space="preserve">Териториален иснтрумент </t>
  </si>
  <si>
    <t>Общо за оперативната програма</t>
  </si>
  <si>
    <t>общ брой деца</t>
  </si>
  <si>
    <t>общо учащи</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</si>
  <si>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</si>
  <si>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</si>
  <si>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</si>
  <si>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</si>
  <si>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</si>
  <si>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</si>
  <si>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</si>
  <si>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</si>
  <si>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</si>
  <si>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</si>
  <si>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</si>
  <si>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</si>
  <si>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Повишаване на конкурентоспособността и ефикасността на системата за научни изследвания, като се постави акцент върху постиганите резултати и се създадат стимули за привличане на квалифицирани научни изследователи (напр. подобряване на условията на труд, международно сътрудничество и мобилност, сътрудничество с бизнеса);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</si>
  <si>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</si>
  <si>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r>
      <rPr>
        <b/>
        <sz val="9"/>
        <color theme="1"/>
        <rFont val="Times New Roman"/>
        <family val="1"/>
        <charset val="204"/>
      </rPr>
      <t>Приоритет 3: Научна инфраструктура и приложни изследвания</t>
    </r>
    <r>
      <rPr>
        <sz val="9"/>
        <color theme="1"/>
        <rFont val="Times New Roman"/>
        <family val="1"/>
        <charset val="204"/>
      </rPr>
      <t xml:space="preserve">
Цел: Подобряване на капацитета за научни изследвания, насочени към резултати, чрез модернизация на научната инфраструктура, подобряване на условията на труд и мобилност на учените. 
</t>
    </r>
  </si>
  <si>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</si>
  <si>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ИТ свързаност и съпътстващата инфраструктура в стратегически определени научни центрове за върхови постижения и центрове за компетентност</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</si>
  <si>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</si>
  <si>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</si>
  <si>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</si>
  <si>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</si>
  <si>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</si>
  <si>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стратегически определени научни центрове за върхови постижения и центрове за компетентност</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</si>
  <si>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</si>
  <si>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</si>
  <si>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</si>
  <si>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на  в стратегически определени научни центрове за върхови постижения и центрове за компетентност, чрез:</t>
  </si>
  <si>
    <t>RCO 07 Научноизследователски институции участващи в съвместни проекти за научни изследвания;</t>
  </si>
  <si>
    <t xml:space="preserve">Изграждане на мрежи и съвместна научно-изследователска дейност с водещи европейски научни организации и университети, подкрепа за присъединяване към пан-европейски научно-изследователски инфраструктури </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</si>
  <si>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</si>
  <si>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</si>
  <si>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в стратегически определени научни центрове за върхови постижения и центрове за компетентност,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</si>
  <si>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</si>
  <si>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</si>
  <si>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</si>
  <si>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</si>
  <si>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установяването, придобиването, защитаването и използване, управление  и прехвърляне на права по интелектуална собственостна п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</si>
  <si>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</si>
  <si>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</si>
  <si>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5. Подкрепа за високотехнологични стартиращи предприятия на подкрепените   стратегически определени научни центрове за върхови постижения и центрове за компетентност</t>
  </si>
  <si>
    <t>RCO 05 - Стартиращи предприятия</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</si>
  <si>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</si>
  <si>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</si>
  <si>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</si>
  <si>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</si>
  <si>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</si>
  <si>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</si>
  <si>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</si>
  <si>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</si>
  <si>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</si>
  <si>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</si>
  <si>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</si>
  <si>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</si>
  <si>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основните целеви групи;</t>
  </si>
  <si>
    <t>развиване на уменията в университетите и научноизследователските институции с цел увеличаване на търговската жизнеспособност и пазарното значение на научноизследователските им проекти и на способността за участие в научноизследователски консорциуми;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</si>
  <si>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</si>
  <si>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</si>
  <si>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</si>
  <si>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</si>
  <si>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</si>
  <si>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</si>
  <si>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Изследователи в научни организации, преподаватели в университети, докторанти, постдокторанти, млади учени, студенти, представители на бизнеса.</t>
  </si>
  <si>
    <t>3. Интернационализация,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</si>
  <si>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</si>
  <si>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</si>
  <si>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</si>
  <si>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</si>
  <si>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</si>
  <si>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</si>
  <si>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</si>
  <si>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</si>
  <si>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</si>
  <si>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</si>
  <si>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</si>
  <si>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</si>
  <si>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 xml:space="preserve">5. Подкрепа за високотехнологични стартиращи предприятия </t>
  </si>
  <si>
    <t>RCO 05 - Стартиращи предприятия</t>
  </si>
  <si>
    <t>общо 009+021</t>
  </si>
  <si>
    <t>ЦК+ЦВП</t>
  </si>
  <si>
    <t>1.2 Изследвания</t>
  </si>
  <si>
    <t xml:space="preserve">Индикативен брой проекти </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</si>
  <si>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</si>
  <si>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</si>
  <si>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</si>
  <si>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</si>
  <si>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</si>
  <si>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показателите за крайния продукт исъс съответните междинни цели и целеви стойности;</t>
  </si>
  <si>
    <t>показателите за резултата със съответните междинни цели и целеви стойности;</t>
  </si>
  <si>
    <t>Кодове на интервенции</t>
  </si>
  <si>
    <t xml:space="preserve">План за финансиране (в евро, европейско финансиране)  </t>
  </si>
  <si>
    <t>видове интервенции и примерна разбивка на програмираните средства в зависимост от вида интервенция или област на подпомагане;</t>
  </si>
  <si>
    <t>планирано използване на техническа помощ в съответствие с членове 30—32 и съответните видове интервенции;</t>
  </si>
  <si>
    <t>планирано използване на финансови инструменти;</t>
  </si>
  <si>
    <t>основните целеви групи;</t>
  </si>
  <si>
    <r>
      <t xml:space="preserve">специфични целеви територии, </t>
    </r>
    <r>
      <rPr>
        <b/>
        <sz val="9"/>
        <color rgb="FF000000"/>
        <rFont val="Times New Roman"/>
        <family val="1"/>
        <charset val="204"/>
      </rPr>
      <t xml:space="preserve">включително </t>
    </r>
    <r>
      <rPr>
        <b/>
        <sz val="9"/>
        <color theme="1"/>
        <rFont val="Times New Roman"/>
        <family val="1"/>
        <charset val="204"/>
      </rPr>
      <t xml:space="preserve">планирано </t>
    </r>
    <r>
      <rPr>
        <b/>
        <sz val="9"/>
        <color rgb="FF000000"/>
        <rFont val="Times New Roman"/>
        <family val="1"/>
        <charset val="204"/>
      </rPr>
      <t>използване на интегрирани териториални инвестиции, водено от общностите местно развитие или други териториални инструменти;</t>
    </r>
  </si>
  <si>
    <r>
      <t>междурегионални и транснационални действия, при които бенефициерите се намират поне в още една друга държава членка</t>
    </r>
    <r>
      <rPr>
        <b/>
        <sz val="9"/>
        <color rgb="FF000000"/>
        <rFont val="Times New Roman"/>
        <family val="1"/>
        <charset val="204"/>
      </rPr>
      <t>;</t>
    </r>
  </si>
  <si>
    <t>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</si>
  <si>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</si>
  <si>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</si>
  <si>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</si>
  <si>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съпътстващата инфраструктура в одобрени проекти по направление "Sharing Excellence" на Хоризонт Европа.</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</si>
  <si>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</si>
  <si>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</si>
  <si>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</si>
  <si>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Изследователи в научни организации, преподаватели в университети, докторанти, постдокторанти, млади учени, студенти, представители на бизнеса.</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</si>
  <si>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</si>
  <si>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</si>
  <si>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проекти по стълб II на Хоризонт Европа, получили печат за високи постижения</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</si>
  <si>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</si>
  <si>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</si>
  <si>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</si>
  <si>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за проекти по стълб II на Хоризонт Европа, получили печат за високи постижения,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</si>
  <si>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</si>
  <si>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</si>
  <si>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</si>
  <si>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</si>
  <si>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за проекти по стълб II на Хоризонт Европа, получили печат за високи постижения,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</si>
  <si>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</si>
  <si>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</si>
  <si>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</si>
  <si>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отворен достъп</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</si>
  <si>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Оценка на пазарния потенциал на научните разработки;</t>
  </si>
  <si>
    <t xml:space="preserve">• участие в научни форуми, </t>
  </si>
  <si>
    <t>• организиране на международни научни форуми;</t>
  </si>
  <si>
    <t>Общо 009+021</t>
  </si>
  <si>
    <t>Индикативен брой инфр. Проекти sharing excellence</t>
  </si>
  <si>
    <t>Идикат брой проекти стълб 2</t>
  </si>
  <si>
    <t xml:space="preserve">Брой разработени/актуализирани аналитични и оценителни доклади и стратегически документи, разработени въз основа на събрани данни; хоризонтални оценки по ЕСИФ/ ФРОР.
Всеки доклад и документ трябва да бъде консултиран и разпространен с всички структури по управление и контрол на ЕСИФ/ФРОР и партньорските организации.
</t>
  </si>
  <si>
    <t xml:space="preserve">(О1-2) Методически указания и проекти за нормативни актове </t>
  </si>
  <si>
    <t xml:space="preserve">Брой изготвени/актуализирани методически указания, разпространени в системата за управление и контрол на ЕСИФ/ФРОР и брой на влезлите в сила нови/актуализирани национални нормативни актове по ЕСИФ/ФРОР. </t>
  </si>
  <si>
    <t xml:space="preserve">(О1-3) Хоризонтални координационни срещи  по ЕСИФ/ФРОР   </t>
  </si>
  <si>
    <t xml:space="preserve">Брой хоризонтални координационни срещи по ЕСИФ/ФРОР, проведени от бенефициентите на ПТП, вкл. заседания на КН на ПТП и КН на СП.
</t>
  </si>
  <si>
    <t>По-слабо развити региони</t>
  </si>
  <si>
    <t xml:space="preserve">(О1-4) Функциониращ Център (хъб) за държавни помощи за средствата по ФРОР </t>
  </si>
  <si>
    <t xml:space="preserve">Центърът (хъбът) е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ЕСИФ/ФРОР. Основните цели са разпространението на информация относно нормативни актове за държавните помощи, отговорите от ЕК на поставени въпроси чрез системата eState Aid WIKI, споделяне на експертиза по конкретни казуси, публикуване на тематични насоки, създаване на формуляри за обратна връзка и др.
Индикаторът измерва броя месеци на функциониране на Центъра, където се поддържа и предоставя актуална информация за служители от системата на фондовете по ФРОР, организации на партньори и потребители на центъра.
</t>
  </si>
  <si>
    <t xml:space="preserve">(О1-5) Служители на хоризонтално ниво в системата за управление и контрол на средствата по ФРОР </t>
  </si>
  <si>
    <t>Брой служители на хоризонтално ниво в органи/звена от системата за управление и контрол на средствата по ФРОР (държавни служители и лица по трудово правоотношение, наети в съответствие с Кодекса на труда), чиито възнаграждения се възстановяват по програмата.</t>
  </si>
  <si>
    <t xml:space="preserve">(О1-6) Брой обучени служители от системата, външни оценители на проекти и представители на партньорите </t>
  </si>
  <si>
    <r>
      <t xml:space="preserve">Брой обучени служители на системата за управление и контрол на фондовете ЕСИФ/ФРОР, външни оценители на проекти и представители на партньорите:
</t>
    </r>
    <r>
      <rPr>
        <i/>
        <sz val="9"/>
        <rFont val="Times New Roman"/>
        <family val="1"/>
        <charset val="204"/>
      </rPr>
      <t xml:space="preserve">„Обучение“ е събитие, което има за цел да предаде знания, вкл. обмен на опит /добри практики, независимо от формата на провеждане, напр. семинар, конференция, обмен на опит и др. п, чрез което ще се повишат и/или поддържат високи нива на компетентност, мотивация и ангажираност на служителите на системата за управление и контрол на ЕСИФ/ФРОР, на външните оценители на проекти и на представители на партньорите, за да се гарантира ефективното изпълнение на задължения, свързани с прилагането на европейската политика на сближаване.
</t>
    </r>
  </si>
  <si>
    <t xml:space="preserve">(О1-7) Степен на удовлетвореност от проведените обучения </t>
  </si>
  <si>
    <r>
      <t xml:space="preserve">Степента на удовлетвореност се определя въз основа на уеб-базирани въпросници/анкетни карти, попълнени от участниците след завършване на обучението.
</t>
    </r>
    <r>
      <rPr>
        <i/>
        <sz val="9"/>
        <rFont val="Times New Roman"/>
        <family val="1"/>
        <charset val="204"/>
      </rPr>
      <t>„Обучение“ е събитие, което има за цел да предаде знания, вкл. обмен на опит /добри практики, независимо от формата на изпълнение, напр. семинар, конференция, обмен на опит и др., които ще повишат и/или поддържат високи нива на компетентност, мотивация и ангажираност на служителите на системата за управление и контрол на фондовете по ЕСИФ/РОР, външни оценители на проекти и представители на партньорите, за да се гарантира ефективното изпълнение на задължения, свързани с прилагането на ПС.</t>
    </r>
    <r>
      <rPr>
        <sz val="9"/>
        <rFont val="Times New Roman"/>
        <family val="1"/>
        <charset val="204"/>
      </rPr>
      <t xml:space="preserve">
Данните са обобщени, за да се изчисли средна стойност на удовлетвореността на участниците от всяко проведено обучение. Използваната скала представлява степен на удовлетворение от 0 до 100% по шестобална скала (0%, 20%, 40%, 60%, 80%, 100%), като комплексна стойност, базирана на качество, полезност, уместност, представянето на лекторите и други подходящи критерии.
</t>
    </r>
  </si>
  <si>
    <t>В резултат на централизиран конкурс, проведен от ЦКЗ за избор на външни оценители, ще се изготви набор/списък с висококвалифицирани експерти с опит в областта на оценяването на проектни предложения и опит в специфични професионални области и сфери, свързани с тематичния обхват на програмите.</t>
  </si>
  <si>
    <t xml:space="preserve">Брой партньорски организации (общини и гражданско общество), подкрепени във връзка с:
- хоризонталните теми като: държавни помощи, обществени поръчки и нередности;
- подготовка и изпълнение на проекти със средства по ФРОР с особен акцент върху ИТИ и/или съфинансиране с финансови инструменти;
- стратегическо планиране, участие в инициативи на ЕС и развитие на междуобщинско сътрудничество.
- изграждане на общ и специфичен капацитет на гражданското общество за укрепване на принципа на партньорство и тяхната роля в планирането, мониторинга и изпълнението на ФРОР; 
- активно участие на гражданското общество в начина, по който се планират, инвестират и наблюдават средствата от ЕС, за да се осигури по-добро изпълнение и по-силно чувство за собственост върху резултатите сред гражданите, чрез създаване на нови инициативи за включване на гражданите и насърчаване на прозрачността, отчетността и положителните резултати;
- събиране на данни.
</t>
  </si>
  <si>
    <t>Брой извършени проверки и одити, завършени с окончателен доклад, изготвен от одитен и/или контролен орган в рамките на законовите им правомощия</t>
  </si>
  <si>
    <t>Брой разработени нови функционалности на ИСУН за подготовка, изпълнение, мониторинг, контрол и управление на ФРОР.</t>
  </si>
  <si>
    <t xml:space="preserve">Показателят измерва степента на удовлетвореност сред потребителите на ИСУН 2020. 
10% от всички регистрирани потребители на ИСУН ще попълват стандартизирани въпросници на всеки шест месеца относно удовлетвореността си от функционалностите на системата. На всеки шест месеца се извършва произволен подбор на потребители за участие в проучването. Използваната скала представлява степен на удовлетворение от 0 до 100% по единадесетбална скала (0%, 10%, 20%, 30%, 40%, 50%, 60%, 70%, 80%, 90%, и 100%) въз основа на качество, полезност, уместност и други подходящи критерии.
</t>
  </si>
  <si>
    <r>
      <t xml:space="preserve">(О1-12) </t>
    </r>
    <r>
      <rPr>
        <b/>
        <sz val="9"/>
        <color theme="1"/>
        <rFont val="Times New Roman"/>
        <family val="1"/>
        <charset val="204"/>
      </rPr>
      <t xml:space="preserve">Степен </t>
    </r>
    <r>
      <rPr>
        <b/>
        <sz val="9"/>
        <color theme="1"/>
        <rFont val="Times New Roman"/>
        <family val="2"/>
        <charset val="204"/>
      </rPr>
      <t>на удовлетвореност на потребителите на ИСУН</t>
    </r>
  </si>
  <si>
    <t>Индикаторът измерва намаляването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на16,10 документа на процедура, изчислено въз основа на данните в ИСУН за програмите, финансирани от ЕСФ, ЕФРР, КФ, ЕФМДР и ФЕПНЛ.</t>
  </si>
  <si>
    <t xml:space="preserve">Индикаторът измерва броя на импресиите, отчетени от статистиката в съответните профили на управлявани от бенефициентите на ПТП (ЦКЗ, ОИЦ и др.) социални платформи. </t>
  </si>
  <si>
    <r>
      <t>Всеки бенефициент непрекъснато предоставя на УО информация за броя на изготвените/актуализирани аналитични и оценителни доклади</t>
    </r>
    <r>
      <rPr>
        <sz val="9"/>
        <color theme="1"/>
        <rFont val="Times New Roman"/>
        <family val="1"/>
        <charset val="204"/>
      </rPr>
      <t xml:space="preserve"> </t>
    </r>
    <r>
      <rPr>
        <sz val="9"/>
        <color theme="1"/>
        <rFont val="Times New Roman"/>
        <family val="2"/>
        <charset val="204"/>
      </rPr>
      <t>(вкл. Хоризонтални оценки</t>
    </r>
    <r>
      <rPr>
        <sz val="9"/>
        <color theme="1"/>
        <rFont val="Times New Roman"/>
        <family val="1"/>
        <charset val="204"/>
      </rPr>
      <t xml:space="preserve">, </t>
    </r>
    <r>
      <rPr>
        <sz val="9"/>
        <color theme="1"/>
        <rFont val="Times New Roman"/>
        <family val="2"/>
        <charset val="204"/>
      </rPr>
      <t xml:space="preserve">доклади за изпълнение, годишни доклади за състоянието на системата по ЕСИФ/ФРОР) и стратегически документи през отчетния период.
Както анализите, извършени от независими външни изпълнители, така и анализите, изготвени от бенефициента, се отчитат спрямо целевите стойности.
Показателят се изчислява на годишна база от УО.
Показателят се изчислява кумулативно.
</t>
    </r>
  </si>
  <si>
    <t>Всеки бенефициент непрекъснато предоставя на УО информация за броя на разработените/актуализирани метдически насоки, разпределени между системата за управление и контрол на средствата по ЕСИФ/ФРОР и броя на новите/актуализирани влезли в сила национални разпоредби.
Показателят се изчислява на годишна база от УО.
Показателят се изчислява кумулативно.</t>
  </si>
  <si>
    <t>1. Укрепване на стратегическата координация, програмиране, планиране, изпълнение, мониторинг, оценка и контрол на средствата по ФРОР</t>
  </si>
  <si>
    <t>4. Ангажиране на гражданското общество за добро управление на ЕСИФ/ФРОР</t>
  </si>
  <si>
    <t xml:space="preserve">3. Подобряване на средата за изпълнение чрез допълнително оптимизиране на правилата и процедурите за управление на средствата по ФРОР и намаляване на административната тежест; </t>
  </si>
  <si>
    <t xml:space="preserve">4. Ангажиране на гражданското общество за добро управление на ЕСИФ/ФРОР
</t>
  </si>
  <si>
    <t xml:space="preserve">2. По-нататъшно укрепване на административния капацитет на органите, отговорни за координацията, докладването и одита на средствата по ФРОР и бенефициентите/партньорите </t>
  </si>
  <si>
    <t xml:space="preserve">Предоставяне на аналитични и оценителни доклади и стратегически документи на системата за управление и контрол на ЕСИФ/ФРОР
Подобрени, синхронизирани и унифицирани административни процеси/ процедури във всички структури на системата за управление и контрол на фондовете по РОР
Намаляване на броя на основните констатации от системни одити и грешки с финансовото въздействие
Повишено ниво на превенция и откриване на нередности, измами и корупция в проекти, финансирани от фондове по РОР
Изготвяне и прилагане на Пътна карта на административния капацитет за програмния период 2021-2027 г.
Предоставяне на система за управление и контрол на средствата по ЕСИФ/ФРОР с данни за оценка на хоризонтално ниво
Оценка на резултатите на политиката на сближаване на хоризонтално ниво </t>
  </si>
  <si>
    <t xml:space="preserve">1.1 Разработване на методически насоки за обединяване, опростяване и рационализиране на правилата и процедурите за подобрена ефективност при управлението на средствата по ЕСИФ/ФРОР:
- Насърчаване на по-широко използване на опростени опции за разходи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1.2 Методически дейности на звеното за държавни помощи в подкрепа на ефективното и ефикасно прилагане на средствата по ЕСИФ/РОР: (изготвяне на наръчници и/или документи, експертни становища, свързани с прилагането на държавна помощ, разработване на целенасочено съдържание за обучение за УО и бенефициенти). Превод и адаптация на международни насоки и тълкуване на съдебната практика относно правилата за държавни помощи.
1.3 Разработване на нови/ревизирани национални разпоредби за средствата по ЕСИФ/ФРОР </t>
  </si>
  <si>
    <t xml:space="preserve">Предоставяне на методически насоки и национални разпоредби за средствата по ЕСИФ/ФРОР: система за управление и контрол
Подобрени, синхронизирани и унифицирани вътрешни административни процеси/процедури във всички структури на системата за управление и контрол на средствата по ЕСИФ/ФРОР
Намален брой основни констатации от системни одити и грешки с финансовото въздействие
Намалена административна тежест за кандидати и бенефициенти
Намаляване на грешките, допуснати от кандидати и бенефициенти </t>
  </si>
  <si>
    <t>1.1 Координационни срещи между структурите на ЕСИФ/ФРОР за:
- обединяване, опростяване и рационализиране на правила и процедури за подобряване на цялостната ефективност при управлението на фондовете на ЕС;
- идентифициране и уточняване на бъдещи функционалности на ИСУН (поне веднъж годишно);
- рационализиране на събирането на структурирани данни за анализ и оценка на национално, регионално и програмно ниво;
- засилване на регионалния/ интегриран териториален подход;
- минимизиране на административната тежест за кандидатите и бенефициентите, включително по-широкото прилагане на опростени разходи;
- споделяне на знания въз основа на превод и адаптиране на международни насоки и тълкуване на съдебната практика относно държавните помощи;
- методически дейности на звеното за държавни помощи в подкрепа на ефективното и ефикасно прилагане на средствата от ЕСИФ/ФРОР;
- идентифициране и прилагане на всеобхватни мерки, насочени към намаляване на броя и тежестта на нередностите, включително измами и корупция, по-специално в процедурите за възлагане на обществени поръчки;
- докладване в системата за управление на нередности за всяка открита нередност или измама, където е приложимо, включително такива, произтичащи от случаи/ препоръки на OLAF;
- обмен на опит по конкретни теми със сходни институции на ЕС и на държавите членки;
- синхронизиране на практиката на контролните органи на системата на средствата по ЕСИФ/ФРОР с практиката на съдебната система.</t>
  </si>
  <si>
    <t xml:space="preserve">Подобрени, синхронизирани и унифицирани административни процеси/ процедури във всички структури на системата за управление и контрол на средствата по ЕСИФ/ФРОР;
Намалена административна тежест за кандидати и бенефициенти;
Намаляване на грешките, допуснати от кандидати и бенефициенти;
Намален брой и тежест на грешките, отчетени за програмите, включени в Споразумението за партньорство 2021-2027 г.
Повишено ниво на превенция и откриване на нередности, измами и корупция в проекти, финансирани от фондове по РОР
Използване на добри практики, по-широко използване на опростени разходи, зелени и устойчиви обществени поръчки и др. 
</t>
  </si>
  <si>
    <t xml:space="preserve">Показателят се отчита ежегодно от националното звено за държавни помощи за поддръжка и актуализация на центъра за държавни помощи относно средствта по ФРОР.
Бенефициентът представя ежегодно към 31 декември на предходната година обобщена информация за месечни публикации и изразени позиции по конкретни случаи. 
</t>
  </si>
  <si>
    <t xml:space="preserve">1.1 Профилиране на потенциалните потребители на Центъра за държавни помощи относно средствата по ФРОР и идентифициране на пропуските в знанията относно държавната помощ;
1.2 Публикуване на тематични насоки за специфични аспекти на правилата за държавни помощи, приложими за проекти, финансирани по ФРОР, като допустими разходи, натрупване и източници на информация за проверки;
1.3 Осигуряване на система за управление и контрол на средствата по ФРОР и партньорски организации (вкл. общини) с бърза, актуална и тематична информация, включително:
 - Бюлетин за изменения на българското и европейско законодателство в областта на държавните помощи по отношение на проекти, съфинансирани от фондове по РОР
  - отговори на ЕК на въпроси, зададени чрез системата eState Aid WIKI;
  - Съдебни решения по дела за държавни помощи;
1.4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
1.5 Разработване и споделяне на специално разработено учебно съдържание въз основа на текущите предизвикателства, пред които са изправени УО
1.6 Насърчаване на формуляри за обратна връзка за бърза комуникация между структурите за управление и контрол на фондовете по РОР и националното звено за държавни помощи за идентифициране на теми за предстоящ дебат/ изясняване.
</t>
  </si>
  <si>
    <t>Осигуряване на системата за управление и контрол на ЕСИФ/ФРОР с компетентен, силно мотивиран, ангажиран и опитен персонал.
Осигуряване на ниско текучество на персонала</t>
  </si>
  <si>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отвъд 2027 г.;                                                                                                           
1.2. Трябва да се изготви текущ мониторинг на централно ниво и годишни доклади за състоянието, обхващащи администрацията, изпълняваща функции по  ЕСИФ/ФРОР; координация на усилията за поддържане и по-нататъшно развитие на административния капацитет на хоризонталните звена в системата за управление и контрол на средствата по ФРОР; 1.3. Изготвяне на съдържание за обучение по хоризонтални въпроси въз основа на проведени анализи и оценки;
1.4 Организиране на обучения по хоризонтални теми от националните власти, както следва:
- обществени поръчки;
- откриване на нередности, включително измами, и подходящи последващи действия;
- прилагане на правила за държавни помощи;
- цифрови и зелени умения.
1.5. Организиране на специализирани обучения за външни оценители на проекти със специален фокус върху прилагането на правилата за фондовете по РОР и ефективно използване на ИСУН;
1.6 Участие в специализирани събития на национални и европейски центрове за обучение;
1.7 Участие в срещи, работни групи, семинари, конференции за трансфер на добри практики, организирани от европейски и национални институции.</t>
  </si>
  <si>
    <t xml:space="preserve">Осигуряване на системата за управление и контрол на ЕСИФ/ФРОР с компетентен, силно мотивиран, ангажиран и опитен персонал.                                                         
                                                                                                        </t>
  </si>
  <si>
    <t xml:space="preserve">1.1 Мониторинг на политики, съфинансирани от фондовете по РОР от сектора на гражданското общество;
1.2 Събиране на алтернативни данни, необходими за оценка на резултатите от проекти по ЕСИФ/ФРОР
1.3 Даване на препоръки от сектора на гражданското общество въз основа на събрани данни;
</t>
  </si>
  <si>
    <t>2.1 Укрепване на капацитета на сектора на гражданското общество за:
- Укрепване на принципа на партньорство и тяхната роля при разработването, мониторинга и изпълнението на фондовете по РОР;
- Активно участие в начина, по който се планират, инвестират и наблюдават средствата от ЕС
- Събиране на алтернативни данни за оценки на изпълнението на ЕСИФ/ФРОР;
2.2 Укрепване на общинския капацитет за:
- подготовка и изпълнение на ИТИ/ регионални проекти
- подобряване на качеството на общинските стратегически и програмни документи
- подобряване на процеса на обществени поръчки от общините
- прилагане на правилата за държавни помощи
- изпълнение на проекти, съфинансирани с финансови инструменти</t>
  </si>
  <si>
    <t>Мониторинг на финансирани от ФРОР политики от сектора на гражданското общество;
Събиране на алтернативни данни за оценка на изпълнението на финансираните от ЕСИФ/ФРОР политики.</t>
  </si>
  <si>
    <t xml:space="preserve">1.1 Контрол и/или одити, извършени от следните институции:
- Одитиращ орган - системни одити и одити на операциите (по един на година за всяка от програмите на средствата по ФРОР)
- Счетоводен орган - контрол на процедурите на УО за процеса на сертифициране/ изготвяне на заявления до ЕК
- АФКОС - административни разследвания за установяване на нередности, мисии на OLAF на територията на Република България, с участието на служители на Дирекция AFCOS, административни контролни проверки за спазване на процедурите за администриране на нередности в УО
- АОП - предварителен контрол на обществените поръчки за изпълнение на проекти на ЕСИФ/ФРОР
</t>
  </si>
  <si>
    <t xml:space="preserve">Подобрена система за управление и контрол на средствата по ФРОР
Намален брой основни констатации
Намален брой грешки, отчетени по програмите, финансирани по ФРОР 
</t>
  </si>
  <si>
    <t>Подобрена електронна среда за управление, внедряване, мониторинг, контрол и отчитане на средствата по ЕСИФ/ФРОР;
Предоставени ИТ решения за бързо адаптиране на ИСУН към нововъзникващите нужди на потребителите на системата;
Намалена административна тежест чрез ускорени процеси за оценка на проектни предложения, договаряне, проверка на разходите и плащанията</t>
  </si>
  <si>
    <t xml:space="preserve">Разработване на информационни материали за популяризиране на възможностите за финансиране по програмите, финансирани от ФРОР:
- филми, аудио/видео клипове, репортажи и други формати за електронни медии;
- реклами в печатни медии и други формати за печатни медии;
- банери и други формати за онлайн и социални медии;
- печатни информационни материали (бюлетини, брошури, плакати, ръководства, публикации и др.).
</t>
  </si>
  <si>
    <t xml:space="preserve">По-нататъшно разработване, надграждане, поддръжка и своевременно актуализиране на Единния информационен портал на ЕСИФ/ФРОР, за да се гарантира надеждността на информацията, свързана с всички съфинансирани програми. </t>
  </si>
  <si>
    <t>Индикативен брой служители на УО, бенефициентите и външни заинтересовани страни от фондовете по РОР, планирани да вземат участие в обучителни сесии:</t>
  </si>
  <si>
    <t xml:space="preserve">Броят на персонала, бенефициентите и заинтересованите страни по Програмата за транспортната свързаност (2021-2027)  предстои да бъде потвърден  </t>
  </si>
  <si>
    <t xml:space="preserve"> Методически указания и проекти за нормативни актове </t>
  </si>
  <si>
    <t>Хоризонтални координационни срещи  по ЕСИФ/ФРОР</t>
  </si>
  <si>
    <t xml:space="preserve">Функциониращ Център (хъб) за държавни помощи за средствата по ФРОР </t>
  </si>
  <si>
    <t xml:space="preserve">Служители на хоризонтално ниво в системата за управление и контрол на средствата по ФРОР </t>
  </si>
  <si>
    <t xml:space="preserve">Брой обучени служители от системата, външни оценители на проекти и представители на партньорите </t>
  </si>
  <si>
    <t>Степен на удовлетвореност от проведените обучени</t>
  </si>
  <si>
    <t>Степен на удовлетвореност на потребителите на ИСУН</t>
  </si>
  <si>
    <t>ДП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</si>
</sst>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л_в_._-;\-* #,##0.00\ _л_в_._-;_-* &quot;-&quot;??\ _л_в_._-;_-@_-"/>
    <numFmt numFmtId="165" formatCode="_(* #,##0.00_);_(* \(#,##0.00\);_(* &quot;-&quot;??_);_(@_)"/>
    <numFmt numFmtId="166" formatCode="_([$€-2]\ * #,##0.00_);_([$€-2]\ * \(#,##0.00\);_([$€-2]\ * &quot;-&quot;??_);_(@_)"/>
    <numFmt numFmtId="167" formatCode="0.000%"/>
    <numFmt numFmtId="168" formatCode="_-* #,##0\ _л_в_._-;\-* #,##0\ _л_в_._-;_-* &quot;-&quot;??\ _л_в_._-;_-@_-"/>
    <numFmt numFmtId="169" formatCode="#,##0.0"/>
    <numFmt numFmtId="170" formatCode="0.000000"/>
    <numFmt numFmtId="171" formatCode="0.000000%"/>
    <numFmt numFmtId="172" formatCode="0.0000000"/>
    <numFmt numFmtId="173" formatCode="#,##0.00000"/>
    <numFmt numFmtId="174" formatCode="#,##0.000000"/>
  </numFmts>
  <fonts count="60" x14ac:knownFonts="1">
    <font>
      <sz val="11"/>
      <color theme="1"/>
      <name val="Calibri"/>
      <family val="2"/>
      <charset val="204"/>
      <scheme val="minor"/>
    </font>
    <font>
      <sz val="9"/>
      <color theme="1"/>
      <name val="Times New Roman"/>
      <family val="1"/>
      <charset val="204"/>
    </font>
    <font>
      <sz val="11"/>
      <color theme="1"/>
      <name val="Times New Roman"/>
      <family val="1"/>
      <charset val="204"/>
    </font>
    <font>
      <b/>
      <sz val="9"/>
      <color theme="1"/>
      <name val="Times New Roman"/>
      <family val="1"/>
      <charset val="204"/>
    </font>
    <font>
      <b/>
      <sz val="9"/>
      <color rgb="FF000000"/>
      <name val="Times New Roman"/>
      <family val="1"/>
      <charset val="204"/>
    </font>
    <font>
      <sz val="11"/>
      <color theme="1"/>
      <name val="Calibri"/>
      <family val="2"/>
      <charset val="204"/>
      <scheme val="minor"/>
    </font>
    <font>
      <b/>
      <sz val="11"/>
      <color theme="1"/>
      <name val="Calibri"/>
      <family val="2"/>
      <charset val="204"/>
      <scheme val="minor"/>
    </font>
    <font>
      <b/>
      <sz val="12"/>
      <color theme="1"/>
      <name val="Candara"/>
      <family val="2"/>
      <charset val="204"/>
    </font>
    <font>
      <sz val="12"/>
      <color theme="1"/>
      <name val="Candara"/>
      <family val="2"/>
      <charset val="204"/>
    </font>
    <font>
      <sz val="11"/>
      <color theme="1"/>
      <name val="Calibri"/>
      <family val="2"/>
      <scheme val="minor"/>
    </font>
    <font>
      <b/>
      <sz val="10"/>
      <color rgb="FF000000"/>
      <name val="Tahoma"/>
      <family val="2"/>
      <charset val="204"/>
    </font>
    <font>
      <sz val="10"/>
      <color theme="1"/>
      <name val="Candara"/>
      <family val="2"/>
      <charset val="204"/>
    </font>
    <font>
      <sz val="11"/>
      <color rgb="FF002060"/>
      <name val="Times New Roman"/>
      <family val="1"/>
      <charset val="204"/>
    </font>
    <font>
      <sz val="11"/>
      <color rgb="FF002060"/>
      <name val="Calibri"/>
      <family val="2"/>
      <charset val="204"/>
      <scheme val="minor"/>
    </font>
    <font>
      <b/>
      <sz val="11"/>
      <color theme="9"/>
      <name val="Times New Roman"/>
      <family val="1"/>
      <charset val="204"/>
    </font>
    <font>
      <b/>
      <sz val="11"/>
      <color theme="9"/>
      <name val="Calibri"/>
      <family val="2"/>
      <charset val="204"/>
      <scheme val="minor"/>
    </font>
    <font>
      <b/>
      <i/>
      <sz val="9"/>
      <color theme="1"/>
      <name val="Times New Roman"/>
      <family val="1"/>
      <charset val="204"/>
    </font>
    <font>
      <b/>
      <sz val="13"/>
      <color rgb="FF000000"/>
      <name val="Times New Roman"/>
      <family val="1"/>
      <charset val="204"/>
    </font>
    <font>
      <b/>
      <sz val="12"/>
      <color rgb="FF000000"/>
      <name val="Times New Roman"/>
      <family val="1"/>
      <charset val="204"/>
    </font>
    <font>
      <sz val="9"/>
      <name val="Times New Roman"/>
      <family val="1"/>
      <charset val="204"/>
    </font>
    <font>
      <sz val="11"/>
      <name val="Times New Roman"/>
      <family val="1"/>
      <charset val="204"/>
    </font>
    <font>
      <b/>
      <sz val="11"/>
      <color theme="1"/>
      <name val="Times New Roman"/>
      <family val="1"/>
      <charset val="204"/>
    </font>
    <font>
      <sz val="9"/>
      <color theme="1"/>
      <name val="Calibri"/>
      <family val="2"/>
      <scheme val="minor"/>
    </font>
    <font>
      <sz val="11"/>
      <name val="Calibri"/>
      <family val="2"/>
      <scheme val="minor"/>
    </font>
    <font>
      <i/>
      <sz val="9"/>
      <color theme="1"/>
      <name val="Times New Roman"/>
      <family val="1"/>
      <charset val="204"/>
    </font>
    <font>
      <sz val="8"/>
      <color theme="1"/>
      <name val="Times New Roman"/>
      <family val="1"/>
      <charset val="204"/>
    </font>
    <font>
      <sz val="9"/>
      <color rgb="FFFF0000"/>
      <name val="Times New Roman"/>
      <family val="1"/>
      <charset val="204"/>
    </font>
    <font>
      <b/>
      <sz val="9"/>
      <name val="Times New Roman"/>
      <family val="1"/>
      <charset val="204"/>
    </font>
    <font>
      <i/>
      <sz val="9"/>
      <name val="Times New Roman"/>
      <family val="1"/>
      <charset val="204"/>
    </font>
    <font>
      <b/>
      <sz val="10"/>
      <color rgb="FFFF0000"/>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b/>
      <sz val="11"/>
      <color theme="9" tint="-0.249977111117893"/>
      <name val="Times New Roman"/>
      <family val="1"/>
      <charset val="204"/>
    </font>
    <font>
      <sz val="11"/>
      <color theme="9" tint="-0.249977111117893"/>
      <name val="Times New Roman"/>
      <family val="1"/>
      <charset val="204"/>
    </font>
    <font>
      <b/>
      <sz val="8"/>
      <color theme="1"/>
      <name val="Times New Roman"/>
      <family val="1"/>
      <charset val="204"/>
    </font>
    <font>
      <sz val="11.5"/>
      <color theme="1"/>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15"/>
      <color theme="1"/>
      <name val="Times New Roman"/>
      <family val="1"/>
      <charset val="204"/>
    </font>
    <font>
      <i/>
      <sz val="11"/>
      <color rgb="FF000000"/>
      <name val="Times New Roman"/>
      <family val="1"/>
      <charset val="204"/>
    </font>
    <font>
      <b/>
      <sz val="8"/>
      <name val="Times New Roman"/>
      <family val="1"/>
      <charset val="204"/>
    </font>
    <font>
      <b/>
      <sz val="11"/>
      <name val="Times New Roman"/>
      <family val="1"/>
      <charset val="204"/>
    </font>
    <font>
      <b/>
      <sz val="12"/>
      <name val="Times New Roman"/>
      <family val="1"/>
      <charset val="204"/>
    </font>
    <font>
      <sz val="11"/>
      <color theme="0"/>
      <name val="Calibri"/>
      <family val="2"/>
      <charset val="204"/>
      <scheme val="minor"/>
    </font>
    <font>
      <sz val="11"/>
      <color theme="0"/>
      <name val="Times New Roman"/>
      <family val="1"/>
      <charset val="204"/>
    </font>
    <font>
      <b/>
      <sz val="11"/>
      <color theme="0"/>
      <name val="Times New Roman"/>
      <family val="1"/>
      <charset val="204"/>
    </font>
    <font>
      <b/>
      <sz val="8"/>
      <color theme="0"/>
      <name val="Times New Roman"/>
      <family val="1"/>
      <charset val="204"/>
    </font>
    <font>
      <b/>
      <sz val="9"/>
      <color theme="0"/>
      <name val="Times New Roman"/>
      <family val="1"/>
      <charset val="204"/>
    </font>
    <font>
      <sz val="9"/>
      <color theme="0"/>
      <name val="Times New Roman"/>
      <family val="1"/>
      <charset val="204"/>
    </font>
    <font>
      <i/>
      <sz val="11"/>
      <color theme="1"/>
      <name val="Times New Roman"/>
      <family val="1"/>
      <charset val="204"/>
    </font>
    <font>
      <sz val="10"/>
      <color theme="1"/>
      <name val="Times New Roman"/>
      <family val="1"/>
      <charset val="204"/>
    </font>
    <font>
      <i/>
      <sz val="10"/>
      <color theme="1"/>
      <name val="Times New Roman"/>
      <family val="1"/>
      <charset val="204"/>
    </font>
    <font>
      <i/>
      <sz val="11"/>
      <color theme="1"/>
      <name val="Calibri"/>
      <family val="2"/>
      <charset val="204"/>
      <scheme val="minor"/>
    </font>
    <font>
      <sz val="9"/>
      <color theme="1"/>
      <name val="Times New Roman"/>
      <family val="2"/>
      <charset val="204"/>
    </font>
    <font>
      <i/>
      <sz val="9"/>
      <color theme="1"/>
      <name val="Times New Roman"/>
      <family val="2"/>
      <charset val="204"/>
    </font>
    <font>
      <b/>
      <sz val="9"/>
      <color theme="1"/>
      <name val="Times New Roman"/>
      <family val="2"/>
      <charset val="204"/>
    </font>
    <font>
      <i/>
      <sz val="11"/>
      <color theme="1"/>
      <name val="Calibri"/>
      <family val="2"/>
      <charset val="204"/>
    </font>
    <font>
      <b/>
      <i/>
      <sz val="9"/>
      <name val="Times New Roman"/>
      <family val="1"/>
      <charset val="204"/>
    </font>
  </fonts>
  <fills count="2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0F0F0"/>
        <bgColor indexed="64"/>
      </patternFill>
    </fill>
    <fill>
      <patternFill patternType="solid">
        <fgColor rgb="FFEEF9FE"/>
      </patternFill>
    </fill>
    <fill>
      <patternFill patternType="solid">
        <fgColor rgb="FFFBFBFB"/>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BBBBBB"/>
      </left>
      <right style="medium">
        <color rgb="FFBBBBBB"/>
      </right>
      <top style="medium">
        <color rgb="FFBBBBBB"/>
      </top>
      <bottom style="medium">
        <color rgb="FFBBBBBB"/>
      </bottom>
      <diagonal/>
    </border>
    <border>
      <left style="thin">
        <color indexed="9"/>
      </left>
      <right style="thin">
        <color indexed="9"/>
      </right>
      <top style="thin">
        <color indexed="9"/>
      </top>
      <bottom style="thin">
        <color indexed="9"/>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6795556505021"/>
      </right>
      <top style="thin">
        <color theme="0" tint="-0.14996795556505021"/>
      </top>
      <bottom style="thin">
        <color theme="0" tint="-0.14996795556505021"/>
      </bottom>
      <diagonal/>
    </border>
    <border>
      <left style="thick">
        <color theme="0" tint="-0.14996795556505021"/>
      </left>
      <right style="thin">
        <color theme="0" tint="-0.14996795556505021"/>
      </right>
      <top style="thin">
        <color theme="0" tint="-0.14996795556505021"/>
      </top>
      <bottom style="thick">
        <color theme="0" tint="-0.14996795556505021"/>
      </bottom>
      <diagonal/>
    </border>
    <border>
      <left style="thin">
        <color theme="0" tint="-0.14996795556505021"/>
      </left>
      <right style="thin">
        <color theme="0" tint="-0.14996795556505021"/>
      </right>
      <top style="thin">
        <color theme="0" tint="-0.14996795556505021"/>
      </top>
      <bottom style="thick">
        <color theme="0" tint="-0.14996795556505021"/>
      </bottom>
      <diagonal/>
    </border>
    <border>
      <left style="thin">
        <color theme="0" tint="-0.14996795556505021"/>
      </left>
      <right style="thick">
        <color theme="0" tint="-0.14996795556505021"/>
      </right>
      <top style="thin">
        <color theme="0" tint="-0.14996795556505021"/>
      </top>
      <bottom style="thick">
        <color theme="0" tint="-0.14996795556505021"/>
      </bottom>
      <diagonal/>
    </border>
    <border>
      <left style="thick">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ck">
        <color theme="0" tint="-0.14996795556505021"/>
      </right>
      <top/>
      <bottom style="thin">
        <color theme="0" tint="-0.14996795556505021"/>
      </bottom>
      <diagonal/>
    </border>
    <border>
      <left style="thick">
        <color theme="0" tint="-0.14996795556505021"/>
      </left>
      <right style="thick">
        <color theme="0" tint="-0.14993743705557422"/>
      </right>
      <top style="thick">
        <color theme="0" tint="-0.14996795556505021"/>
      </top>
      <bottom style="thick">
        <color theme="0" tint="-0.14993743705557422"/>
      </bottom>
      <diagonal/>
    </border>
    <border>
      <left style="thick">
        <color theme="0" tint="-0.14993743705557422"/>
      </left>
      <right style="thick">
        <color theme="0" tint="-0.14993743705557422"/>
      </right>
      <top style="thick">
        <color theme="0" tint="-0.14996795556505021"/>
      </top>
      <bottom style="thick">
        <color theme="0" tint="-0.14993743705557422"/>
      </bottom>
      <diagonal/>
    </border>
    <border>
      <left style="thick">
        <color theme="0" tint="-0.14996795556505021"/>
      </left>
      <right style="thick">
        <color theme="0" tint="-0.14993743705557422"/>
      </right>
      <top style="thick">
        <color theme="0" tint="-0.14993743705557422"/>
      </top>
      <bottom style="thick">
        <color theme="0" tint="-0.14993743705557422"/>
      </bottom>
      <diagonal/>
    </border>
    <border>
      <left style="thick">
        <color theme="0" tint="-0.14993743705557422"/>
      </left>
      <right/>
      <top style="thick">
        <color theme="0" tint="-0.14993743705557422"/>
      </top>
      <bottom style="thick">
        <color theme="0" tint="-0.14993743705557422"/>
      </bottom>
      <diagonal/>
    </border>
    <border>
      <left style="thick">
        <color theme="0" tint="-0.14993743705557422"/>
      </left>
      <right style="thick">
        <color theme="0" tint="-0.14996795556505021"/>
      </right>
      <top style="thick">
        <color theme="0" tint="-0.14996795556505021"/>
      </top>
      <bottom/>
      <diagonal/>
    </border>
    <border>
      <left style="thick">
        <color theme="0" tint="-0.14993743705557422"/>
      </left>
      <right style="thick">
        <color theme="0" tint="-0.14990691854609822"/>
      </right>
      <top style="thick">
        <color theme="0" tint="-0.14993743705557422"/>
      </top>
      <bottom style="thick">
        <color theme="0" tint="-0.14993743705557422"/>
      </bottom>
      <diagonal/>
    </border>
    <border>
      <left style="thick">
        <color theme="0" tint="-0.14993743705557422"/>
      </left>
      <right style="thin">
        <color theme="0" tint="-0.499984740745262"/>
      </right>
      <top style="thick">
        <color theme="0" tint="-0.14993743705557422"/>
      </top>
      <bottom style="thick">
        <color theme="0" tint="-0.14990691854609822"/>
      </bottom>
      <diagonal/>
    </border>
  </borders>
  <cellStyleXfs count="11">
    <xf numFmtId="0" fontId="0" fillId="0" borderId="0"/>
    <xf numFmtId="164" fontId="5" fillId="0" borderId="0" applyFont="0" applyFill="0" applyBorder="0" applyAlignment="0" applyProtection="0"/>
    <xf numFmtId="0" fontId="5" fillId="0" borderId="0"/>
    <xf numFmtId="9"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9"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cellStyleXfs>
  <cellXfs count="467">
    <xf numFmtId="0" fontId="0" fillId="0" borderId="0" xfId="0"/>
    <xf numFmtId="0" fontId="3" fillId="2" borderId="1" xfId="0" applyFont="1" applyFill="1" applyBorder="1" applyAlignment="1">
      <alignment horizontal="center"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3" fillId="2" borderId="2" xfId="0" applyFont="1" applyFill="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1" fillId="0" borderId="9"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3" fontId="3" fillId="0" borderId="3" xfId="0" applyNumberFormat="1" applyFont="1" applyBorder="1" applyAlignment="1">
      <alignment vertical="top" wrapText="1"/>
    </xf>
    <xf numFmtId="0" fontId="3" fillId="0" borderId="3" xfId="0" applyFont="1" applyBorder="1" applyAlignment="1">
      <alignment horizontal="left" vertical="top" wrapText="1"/>
    </xf>
    <xf numFmtId="3" fontId="3" fillId="0" borderId="2"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9" xfId="0" applyNumberFormat="1" applyFont="1" applyBorder="1" applyAlignment="1">
      <alignment horizontal="righ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3" fontId="3" fillId="0" borderId="0" xfId="0" applyNumberFormat="1" applyFont="1" applyAlignment="1">
      <alignment horizontal="righ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right" vertical="top" wrapText="1"/>
    </xf>
    <xf numFmtId="3" fontId="1" fillId="0" borderId="4" xfId="0" applyNumberFormat="1" applyFont="1" applyBorder="1" applyAlignment="1">
      <alignment horizontal="left" vertical="top" wrapText="1"/>
    </xf>
    <xf numFmtId="0" fontId="8" fillId="0" borderId="0" xfId="2" applyFont="1"/>
    <xf numFmtId="0" fontId="7" fillId="5" borderId="16"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0" borderId="0" xfId="2" applyFont="1" applyAlignment="1">
      <alignment wrapText="1"/>
    </xf>
    <xf numFmtId="0" fontId="7" fillId="6" borderId="3" xfId="2" applyFont="1" applyFill="1" applyBorder="1" applyAlignment="1">
      <alignment horizontal="center" wrapText="1"/>
    </xf>
    <xf numFmtId="0" fontId="7" fillId="6" borderId="6" xfId="2" applyFont="1" applyFill="1" applyBorder="1" applyAlignment="1">
      <alignment horizontal="center" vertical="center" wrapText="1"/>
    </xf>
    <xf numFmtId="3" fontId="7" fillId="7" borderId="1" xfId="2" applyNumberFormat="1" applyFont="1" applyFill="1" applyBorder="1" applyAlignment="1">
      <alignment horizontal="center"/>
    </xf>
    <xf numFmtId="3" fontId="7" fillId="7" borderId="1" xfId="2" applyNumberFormat="1" applyFont="1" applyFill="1" applyBorder="1"/>
    <xf numFmtId="0" fontId="8" fillId="4" borderId="11" xfId="2" applyFont="1" applyFill="1" applyBorder="1" applyAlignment="1">
      <alignment vertical="center"/>
    </xf>
    <xf numFmtId="3" fontId="8" fillId="4" borderId="1" xfId="2" applyNumberFormat="1" applyFont="1" applyFill="1" applyBorder="1" applyAlignment="1">
      <alignment horizontal="right" vertical="center" wrapText="1"/>
    </xf>
    <xf numFmtId="0" fontId="8" fillId="4" borderId="1" xfId="2" applyFont="1" applyFill="1" applyBorder="1" applyAlignment="1">
      <alignment horizontal="left" vertical="center" wrapText="1"/>
    </xf>
    <xf numFmtId="9" fontId="8" fillId="0" borderId="0" xfId="3" applyFont="1"/>
    <xf numFmtId="0" fontId="7" fillId="8" borderId="0" xfId="2" applyFont="1" applyFill="1" applyBorder="1" applyAlignment="1">
      <alignment vertical="center" wrapText="1"/>
    </xf>
    <xf numFmtId="0" fontId="8" fillId="0" borderId="0" xfId="2" applyFont="1" applyBorder="1"/>
    <xf numFmtId="0" fontId="8" fillId="4" borderId="11" xfId="2" applyFont="1" applyFill="1" applyBorder="1" applyAlignment="1">
      <alignment vertical="center" wrapText="1"/>
    </xf>
    <xf numFmtId="0" fontId="8" fillId="4" borderId="1" xfId="2" applyFont="1" applyFill="1" applyBorder="1"/>
    <xf numFmtId="0" fontId="8" fillId="4" borderId="0" xfId="2" applyFont="1" applyFill="1"/>
    <xf numFmtId="3" fontId="8" fillId="4" borderId="2" xfId="2" applyNumberFormat="1" applyFont="1" applyFill="1" applyBorder="1" applyAlignment="1">
      <alignment horizontal="right" vertical="center"/>
    </xf>
    <xf numFmtId="0" fontId="8" fillId="4" borderId="2" xfId="2" applyFont="1" applyFill="1" applyBorder="1" applyAlignment="1">
      <alignment horizontal="left" vertical="center" wrapText="1"/>
    </xf>
    <xf numFmtId="0" fontId="7" fillId="7" borderId="1" xfId="2" applyFont="1" applyFill="1" applyBorder="1"/>
    <xf numFmtId="3" fontId="7" fillId="7" borderId="1" xfId="2" applyNumberFormat="1" applyFont="1" applyFill="1" applyBorder="1" applyAlignment="1">
      <alignment horizontal="right" vertical="center"/>
    </xf>
    <xf numFmtId="166" fontId="8" fillId="7" borderId="1" xfId="4" applyNumberFormat="1" applyFont="1" applyFill="1" applyBorder="1" applyAlignment="1">
      <alignment horizontal="left"/>
    </xf>
    <xf numFmtId="0" fontId="7" fillId="6" borderId="1" xfId="2" applyFont="1" applyFill="1" applyBorder="1" applyAlignment="1">
      <alignment horizontal="center" wrapText="1"/>
    </xf>
    <xf numFmtId="0" fontId="7" fillId="6" borderId="1" xfId="2" applyFont="1" applyFill="1" applyBorder="1" applyAlignment="1">
      <alignment horizontal="center" vertical="center" wrapText="1"/>
    </xf>
    <xf numFmtId="0" fontId="8" fillId="4" borderId="4" xfId="2" applyFont="1" applyFill="1" applyBorder="1" applyAlignment="1">
      <alignment wrapText="1"/>
    </xf>
    <xf numFmtId="3" fontId="8" fillId="4" borderId="4" xfId="2" applyNumberFormat="1" applyFont="1" applyFill="1" applyBorder="1" applyAlignment="1">
      <alignment horizontal="right"/>
    </xf>
    <xf numFmtId="9" fontId="7" fillId="7" borderId="1" xfId="3" applyFont="1" applyFill="1" applyBorder="1" applyAlignment="1">
      <alignment horizontal="center"/>
    </xf>
    <xf numFmtId="0" fontId="8" fillId="4" borderId="1" xfId="2" applyFont="1" applyFill="1" applyBorder="1" applyAlignment="1">
      <alignment wrapText="1"/>
    </xf>
    <xf numFmtId="3" fontId="8" fillId="4" borderId="1" xfId="2" applyNumberFormat="1" applyFont="1" applyFill="1" applyBorder="1" applyAlignment="1">
      <alignment horizontal="right"/>
    </xf>
    <xf numFmtId="166" fontId="8" fillId="7" borderId="1" xfId="4" applyNumberFormat="1" applyFont="1" applyFill="1" applyBorder="1" applyAlignment="1">
      <alignment horizontal="right"/>
    </xf>
    <xf numFmtId="9" fontId="8" fillId="0" borderId="0" xfId="3" applyNumberFormat="1" applyFont="1"/>
    <xf numFmtId="0" fontId="7" fillId="9" borderId="1" xfId="2" applyFont="1" applyFill="1" applyBorder="1"/>
    <xf numFmtId="3" fontId="7" fillId="9" borderId="1" xfId="2" applyNumberFormat="1" applyFont="1" applyFill="1" applyBorder="1" applyAlignment="1">
      <alignment horizontal="right"/>
    </xf>
    <xf numFmtId="167" fontId="7" fillId="7" borderId="1" xfId="3" applyNumberFormat="1" applyFont="1" applyFill="1" applyBorder="1" applyAlignment="1">
      <alignment horizontal="center"/>
    </xf>
    <xf numFmtId="165" fontId="8" fillId="0" borderId="0" xfId="5" applyFont="1"/>
    <xf numFmtId="3" fontId="3" fillId="0" borderId="1" xfId="0" applyNumberFormat="1"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0" xfId="0" applyFont="1" applyBorder="1" applyAlignment="1">
      <alignment vertical="top" wrapText="1"/>
    </xf>
    <xf numFmtId="3" fontId="3" fillId="0" borderId="2" xfId="0" applyNumberFormat="1" applyFont="1" applyBorder="1" applyAlignment="1">
      <alignment vertical="top" wrapText="1"/>
    </xf>
    <xf numFmtId="3" fontId="3" fillId="0" borderId="9" xfId="0" applyNumberFormat="1" applyFont="1" applyBorder="1" applyAlignment="1">
      <alignment vertical="top" wrapText="1"/>
    </xf>
    <xf numFmtId="0" fontId="3" fillId="0" borderId="6" xfId="0" applyFont="1" applyBorder="1" applyAlignment="1">
      <alignment vertical="top" wrapText="1"/>
    </xf>
    <xf numFmtId="164" fontId="3" fillId="0" borderId="4" xfId="1" applyFont="1" applyBorder="1" applyAlignment="1">
      <alignment horizontal="right" vertical="top" wrapText="1"/>
    </xf>
    <xf numFmtId="164" fontId="8" fillId="4" borderId="0" xfId="1" applyFont="1" applyFill="1"/>
    <xf numFmtId="3" fontId="1" fillId="0" borderId="0" xfId="0" applyNumberFormat="1" applyFont="1" applyAlignment="1">
      <alignment vertical="top" wrapText="1"/>
    </xf>
    <xf numFmtId="1" fontId="3" fillId="0" borderId="2" xfId="0" applyNumberFormat="1" applyFont="1" applyBorder="1" applyAlignment="1">
      <alignment vertical="top" wrapText="1"/>
    </xf>
    <xf numFmtId="3" fontId="3" fillId="0" borderId="0" xfId="0" applyNumberFormat="1" applyFont="1" applyAlignment="1">
      <alignment vertical="top" wrapText="1"/>
    </xf>
    <xf numFmtId="0" fontId="1" fillId="0" borderId="0" xfId="0" applyFont="1" applyAlignment="1">
      <alignment horizontal="right" vertical="top" wrapText="1"/>
    </xf>
    <xf numFmtId="0" fontId="1" fillId="0" borderId="22" xfId="0" applyFont="1" applyBorder="1" applyAlignment="1">
      <alignment horizontal="righ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1" fillId="0" borderId="26" xfId="0" applyFont="1" applyBorder="1" applyAlignment="1">
      <alignment vertical="top" wrapText="1"/>
    </xf>
    <xf numFmtId="9" fontId="1" fillId="0" borderId="27" xfId="7" applyFont="1" applyBorder="1" applyAlignment="1">
      <alignment vertical="top" wrapText="1"/>
    </xf>
    <xf numFmtId="16" fontId="1" fillId="0" borderId="24" xfId="0" applyNumberFormat="1" applyFont="1" applyBorder="1" applyAlignment="1">
      <alignment horizontal="right" vertical="top" wrapText="1"/>
    </xf>
    <xf numFmtId="1" fontId="1" fillId="0" borderId="23" xfId="0" applyNumberFormat="1" applyFont="1" applyBorder="1" applyAlignment="1">
      <alignment vertical="top" wrapText="1"/>
    </xf>
    <xf numFmtId="1" fontId="1" fillId="0" borderId="28" xfId="0" applyNumberFormat="1" applyFont="1" applyBorder="1" applyAlignment="1">
      <alignment vertical="top" wrapText="1"/>
    </xf>
    <xf numFmtId="3" fontId="3" fillId="0" borderId="29" xfId="0" applyNumberFormat="1" applyFont="1" applyBorder="1" applyAlignment="1">
      <alignment horizontal="right" vertical="top" wrapText="1"/>
    </xf>
    <xf numFmtId="3" fontId="3" fillId="0" borderId="3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3" fillId="0" borderId="11" xfId="0" applyNumberFormat="1" applyFont="1" applyBorder="1" applyAlignment="1">
      <alignment horizontal="right" vertical="top" wrapText="1"/>
    </xf>
    <xf numFmtId="0" fontId="1" fillId="0" borderId="7" xfId="0" applyFont="1" applyBorder="1" applyAlignment="1">
      <alignment vertical="top" wrapText="1"/>
    </xf>
    <xf numFmtId="3" fontId="3" fillId="0" borderId="7" xfId="0" applyNumberFormat="1" applyFont="1" applyBorder="1" applyAlignment="1">
      <alignment vertical="top" wrapText="1"/>
    </xf>
    <xf numFmtId="0" fontId="3" fillId="0" borderId="10" xfId="0" applyFont="1" applyBorder="1" applyAlignment="1">
      <alignmen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3" fontId="1" fillId="0" borderId="0" xfId="0" applyNumberFormat="1" applyFont="1" applyBorder="1" applyAlignment="1">
      <alignment vertical="top" wrapText="1"/>
    </xf>
    <xf numFmtId="1" fontId="1" fillId="0" borderId="0" xfId="0" applyNumberFormat="1" applyFont="1" applyAlignment="1">
      <alignment vertical="top" wrapText="1"/>
    </xf>
    <xf numFmtId="0" fontId="1" fillId="0" borderId="22" xfId="0" applyFont="1" applyBorder="1" applyAlignment="1">
      <alignment vertical="top" wrapText="1"/>
    </xf>
    <xf numFmtId="3" fontId="1" fillId="8" borderId="0" xfId="0" applyNumberFormat="1" applyFont="1" applyFill="1" applyAlignment="1">
      <alignment wrapText="1"/>
    </xf>
    <xf numFmtId="9" fontId="1" fillId="8" borderId="0" xfId="7" applyFont="1" applyFill="1" applyAlignment="1">
      <alignment wrapText="1"/>
    </xf>
    <xf numFmtId="9" fontId="0" fillId="0" borderId="0" xfId="7" applyFont="1"/>
    <xf numFmtId="4" fontId="0" fillId="0" borderId="0" xfId="0" applyNumberFormat="1"/>
    <xf numFmtId="0" fontId="0" fillId="11" borderId="0" xfId="0" applyFill="1"/>
    <xf numFmtId="0" fontId="10" fillId="12" borderId="36" xfId="0" applyFont="1" applyFill="1" applyBorder="1" applyAlignment="1">
      <alignment horizontal="right" wrapText="1"/>
    </xf>
    <xf numFmtId="0" fontId="10" fillId="0" borderId="0" xfId="0" applyFont="1"/>
    <xf numFmtId="3" fontId="0" fillId="0" borderId="0" xfId="0" applyNumberFormat="1"/>
    <xf numFmtId="1" fontId="0" fillId="0" borderId="0" xfId="0" applyNumberFormat="1"/>
    <xf numFmtId="3" fontId="11" fillId="0"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3" fontId="6" fillId="0" borderId="0" xfId="0" applyNumberFormat="1" applyFont="1"/>
    <xf numFmtId="168" fontId="0" fillId="0" borderId="0" xfId="1" applyNumberFormat="1" applyFont="1"/>
    <xf numFmtId="10" fontId="0" fillId="0" borderId="0" xfId="7" applyNumberFormat="1" applyFont="1"/>
    <xf numFmtId="1" fontId="0" fillId="13" borderId="37" xfId="0" applyNumberFormat="1" applyFill="1" applyBorder="1" applyAlignment="1">
      <alignment horizontal="right"/>
    </xf>
    <xf numFmtId="1" fontId="0" fillId="14" borderId="37" xfId="0" applyNumberFormat="1" applyFill="1" applyBorder="1" applyAlignment="1">
      <alignment horizontal="right"/>
    </xf>
    <xf numFmtId="0" fontId="0" fillId="8" borderId="0" xfId="0" applyFill="1"/>
    <xf numFmtId="0" fontId="2" fillId="8" borderId="0" xfId="0" applyFont="1" applyFill="1"/>
    <xf numFmtId="168" fontId="2" fillId="8" borderId="0" xfId="0" applyNumberFormat="1" applyFont="1" applyFill="1"/>
    <xf numFmtId="164" fontId="2" fillId="8" borderId="0" xfId="1" applyFont="1" applyFill="1"/>
    <xf numFmtId="3" fontId="3" fillId="15" borderId="1" xfId="0" applyNumberFormat="1" applyFont="1" applyFill="1" applyBorder="1" applyAlignment="1">
      <alignment horizontal="center" vertical="center" wrapText="1"/>
    </xf>
    <xf numFmtId="0" fontId="13" fillId="8" borderId="0" xfId="0" applyFont="1" applyFill="1"/>
    <xf numFmtId="0" fontId="12" fillId="8" borderId="0" xfId="0" applyFont="1" applyFill="1"/>
    <xf numFmtId="0" fontId="14" fillId="0" borderId="0" xfId="0" applyFont="1" applyAlignment="1">
      <alignment horizontal="right" vertical="center"/>
    </xf>
    <xf numFmtId="0" fontId="14" fillId="0" borderId="0" xfId="0" applyFont="1" applyAlignment="1">
      <alignment vertical="center"/>
    </xf>
    <xf numFmtId="0" fontId="15" fillId="8" borderId="0" xfId="0" applyFont="1" applyFill="1"/>
    <xf numFmtId="0" fontId="14" fillId="8" borderId="0" xfId="0" applyFont="1" applyFill="1" applyAlignment="1">
      <alignment vertical="center"/>
    </xf>
    <xf numFmtId="0" fontId="14" fillId="8" borderId="0" xfId="0" applyFont="1" applyFill="1"/>
    <xf numFmtId="3" fontId="1" fillId="8" borderId="0" xfId="0" applyNumberFormat="1" applyFont="1" applyFill="1" applyAlignment="1">
      <alignment horizontal="right" wrapText="1"/>
    </xf>
    <xf numFmtId="0" fontId="3" fillId="0" borderId="1" xfId="0" applyFont="1" applyBorder="1" applyAlignment="1">
      <alignment horizontal="justify" vertical="center" wrapText="1"/>
    </xf>
    <xf numFmtId="3" fontId="6" fillId="8" borderId="0" xfId="0" applyNumberFormat="1" applyFont="1" applyFill="1" applyBorder="1"/>
    <xf numFmtId="0" fontId="15" fillId="0" borderId="0" xfId="0" applyFont="1" applyFill="1"/>
    <xf numFmtId="9" fontId="3" fillId="8" borderId="0" xfId="7" applyFont="1" applyFill="1" applyAlignment="1">
      <alignment wrapText="1"/>
    </xf>
    <xf numFmtId="0" fontId="0" fillId="8" borderId="0" xfId="0" applyFill="1" applyAlignment="1">
      <alignment horizontal="left" vertical="top" wrapText="1"/>
    </xf>
    <xf numFmtId="0" fontId="22" fillId="8" borderId="0" xfId="0" applyFont="1" applyFill="1" applyAlignment="1">
      <alignment horizontal="left" vertical="top" wrapText="1"/>
    </xf>
    <xf numFmtId="3" fontId="1" fillId="8" borderId="1" xfId="0" applyNumberFormat="1" applyFont="1" applyFill="1" applyBorder="1" applyAlignment="1">
      <alignment vertical="center" wrapText="1"/>
    </xf>
    <xf numFmtId="3" fontId="3" fillId="8" borderId="1" xfId="0" applyNumberFormat="1" applyFont="1" applyFill="1" applyBorder="1" applyAlignment="1">
      <alignment wrapText="1"/>
    </xf>
    <xf numFmtId="4" fontId="3" fillId="8" borderId="1" xfId="0" applyNumberFormat="1" applyFont="1" applyFill="1" applyBorder="1" applyAlignment="1">
      <alignment wrapText="1"/>
    </xf>
    <xf numFmtId="0" fontId="0" fillId="8" borderId="0" xfId="0" applyFont="1" applyFill="1"/>
    <xf numFmtId="1" fontId="1" fillId="8" borderId="0" xfId="0" applyNumberFormat="1" applyFont="1" applyFill="1" applyAlignment="1">
      <alignment horizontal="center" wrapText="1"/>
    </xf>
    <xf numFmtId="3" fontId="0" fillId="8" borderId="0" xfId="0" applyNumberFormat="1" applyFill="1" applyAlignment="1">
      <alignment horizontal="right"/>
    </xf>
    <xf numFmtId="3" fontId="23" fillId="8" borderId="0" xfId="0" applyNumberFormat="1" applyFont="1" applyFill="1" applyAlignment="1">
      <alignment horizontal="right"/>
    </xf>
    <xf numFmtId="3" fontId="1" fillId="8" borderId="1" xfId="0" applyNumberFormat="1" applyFont="1" applyFill="1" applyBorder="1" applyAlignment="1">
      <alignment horizontal="right" vertical="center" wrapText="1"/>
    </xf>
    <xf numFmtId="3" fontId="1" fillId="8" borderId="1" xfId="0" applyNumberFormat="1" applyFont="1" applyFill="1" applyBorder="1" applyAlignment="1">
      <alignment wrapText="1"/>
    </xf>
    <xf numFmtId="4" fontId="1" fillId="8" borderId="1" xfId="0" applyNumberFormat="1" applyFont="1" applyFill="1" applyBorder="1" applyAlignment="1">
      <alignment wrapText="1"/>
    </xf>
    <xf numFmtId="4" fontId="1" fillId="8" borderId="1" xfId="0" applyNumberFormat="1" applyFont="1" applyFill="1" applyBorder="1" applyAlignment="1">
      <alignment vertical="top" wrapText="1"/>
    </xf>
    <xf numFmtId="3" fontId="1" fillId="8" borderId="1" xfId="0" applyNumberFormat="1" applyFont="1" applyFill="1" applyBorder="1" applyAlignment="1">
      <alignment vertical="top" wrapText="1"/>
    </xf>
    <xf numFmtId="9" fontId="3" fillId="8" borderId="1" xfId="7" applyFont="1" applyFill="1" applyBorder="1" applyAlignment="1">
      <alignment horizontal="right" wrapText="1"/>
    </xf>
    <xf numFmtId="4" fontId="14" fillId="0" borderId="0" xfId="0" applyNumberFormat="1" applyFont="1"/>
    <xf numFmtId="1" fontId="2" fillId="8" borderId="0" xfId="0" applyNumberFormat="1" applyFont="1" applyFill="1"/>
    <xf numFmtId="4" fontId="0" fillId="8" borderId="0" xfId="0" applyNumberFormat="1" applyFont="1" applyFill="1" applyBorder="1"/>
    <xf numFmtId="0" fontId="31" fillId="0" borderId="21"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3" xfId="0" applyFont="1" applyBorder="1" applyAlignment="1">
      <alignment horizontal="center" vertical="center" wrapText="1"/>
    </xf>
    <xf numFmtId="0" fontId="2" fillId="0" borderId="35"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4" fontId="2" fillId="0" borderId="19" xfId="0" applyNumberFormat="1" applyFont="1" applyBorder="1" applyAlignment="1">
      <alignment horizontal="right" vertical="center" wrapText="1"/>
    </xf>
    <xf numFmtId="0" fontId="32" fillId="0" borderId="33" xfId="0" applyFont="1" applyBorder="1" applyAlignment="1">
      <alignment horizontal="justify" vertical="center" wrapText="1"/>
    </xf>
    <xf numFmtId="0" fontId="2" fillId="0" borderId="34" xfId="0" applyFont="1" applyBorder="1" applyAlignment="1">
      <alignment horizontal="justify" vertical="center" wrapText="1"/>
    </xf>
    <xf numFmtId="4" fontId="32" fillId="0" borderId="19" xfId="0" applyNumberFormat="1" applyFont="1" applyBorder="1" applyAlignment="1">
      <alignment horizontal="right" vertical="center" wrapText="1"/>
    </xf>
    <xf numFmtId="4" fontId="32" fillId="0" borderId="19" xfId="0" applyNumberFormat="1" applyFont="1" applyBorder="1" applyAlignment="1">
      <alignment horizontal="center" vertical="center" wrapText="1"/>
    </xf>
    <xf numFmtId="10" fontId="32" fillId="0" borderId="19" xfId="0" applyNumberFormat="1" applyFont="1" applyBorder="1" applyAlignment="1">
      <alignment horizontal="center" vertical="center" wrapText="1"/>
    </xf>
    <xf numFmtId="0" fontId="0" fillId="8" borderId="0" xfId="0" applyFont="1" applyFill="1" applyBorder="1"/>
    <xf numFmtId="0" fontId="32" fillId="0" borderId="33" xfId="0" applyFont="1" applyFill="1" applyBorder="1" applyAlignment="1">
      <alignment horizontal="justify" vertical="center" wrapText="1"/>
    </xf>
    <xf numFmtId="0" fontId="32" fillId="0" borderId="19" xfId="0" applyFont="1" applyFill="1" applyBorder="1" applyAlignment="1">
      <alignment horizontal="left" vertical="center" wrapText="1"/>
    </xf>
    <xf numFmtId="0" fontId="32" fillId="0" borderId="19" xfId="0" applyFont="1" applyBorder="1" applyAlignment="1">
      <alignment horizontal="right" vertical="center" wrapText="1"/>
    </xf>
    <xf numFmtId="2" fontId="32" fillId="0" borderId="19" xfId="0" applyNumberFormat="1" applyFont="1" applyBorder="1" applyAlignment="1">
      <alignment horizontal="right" vertical="center" wrapText="1"/>
    </xf>
    <xf numFmtId="10" fontId="32" fillId="0" borderId="19" xfId="7" applyNumberFormat="1" applyFont="1" applyBorder="1" applyAlignment="1">
      <alignment horizontal="center" vertical="center" wrapText="1"/>
    </xf>
    <xf numFmtId="0" fontId="2" fillId="0" borderId="33" xfId="0" applyFont="1" applyBorder="1" applyAlignment="1">
      <alignment horizontal="justify" vertical="center" wrapText="1"/>
    </xf>
    <xf numFmtId="1" fontId="14" fillId="8" borderId="0" xfId="0" applyNumberFormat="1" applyFont="1" applyFill="1" applyBorder="1" applyAlignment="1"/>
    <xf numFmtId="4" fontId="0" fillId="8" borderId="0" xfId="0" applyNumberFormat="1" applyFont="1" applyFill="1"/>
    <xf numFmtId="0" fontId="32" fillId="0" borderId="19" xfId="0" applyFont="1" applyFill="1" applyBorder="1" applyAlignment="1">
      <alignment horizontal="justify" vertical="center" wrapText="1"/>
    </xf>
    <xf numFmtId="4" fontId="31" fillId="0" borderId="19" xfId="0" applyNumberFormat="1" applyFont="1" applyBorder="1" applyAlignment="1">
      <alignment horizontal="center" vertical="center" wrapText="1"/>
    </xf>
    <xf numFmtId="171" fontId="31" fillId="0" borderId="19" xfId="7" applyNumberFormat="1" applyFont="1" applyBorder="1" applyAlignment="1">
      <alignment horizontal="center" vertical="center" wrapText="1"/>
    </xf>
    <xf numFmtId="3" fontId="31" fillId="0" borderId="0" xfId="0" applyNumberFormat="1" applyFont="1" applyFill="1" applyAlignment="1">
      <alignment horizontal="center" vertical="center" wrapText="1"/>
    </xf>
    <xf numFmtId="3" fontId="0" fillId="8" borderId="0" xfId="0" applyNumberFormat="1" applyFont="1" applyFill="1"/>
    <xf numFmtId="3" fontId="2" fillId="8" borderId="0" xfId="0" applyNumberFormat="1" applyFont="1" applyFill="1" applyBorder="1" applyAlignment="1">
      <alignment horizontal="right" vertical="center" wrapText="1"/>
    </xf>
    <xf numFmtId="4" fontId="2" fillId="8" borderId="0" xfId="0" applyNumberFormat="1" applyFont="1" applyFill="1" applyBorder="1" applyAlignment="1">
      <alignment horizontal="right" vertical="center" wrapText="1"/>
    </xf>
    <xf numFmtId="170" fontId="0" fillId="8" borderId="0" xfId="0" applyNumberFormat="1" applyFont="1" applyFill="1"/>
    <xf numFmtId="3" fontId="0" fillId="8" borderId="0" xfId="0" applyNumberFormat="1" applyFont="1" applyFill="1" applyBorder="1" applyAlignment="1">
      <alignment vertical="top" wrapText="1"/>
    </xf>
    <xf numFmtId="3" fontId="0" fillId="8" borderId="0" xfId="0" applyNumberFormat="1" applyFont="1" applyFill="1" applyBorder="1"/>
    <xf numFmtId="3" fontId="32" fillId="8" borderId="0" xfId="0" applyNumberFormat="1" applyFont="1" applyFill="1" applyBorder="1" applyAlignment="1">
      <alignment horizontal="right" vertical="center" wrapText="1"/>
    </xf>
    <xf numFmtId="3" fontId="31" fillId="8" borderId="0" xfId="0" applyNumberFormat="1" applyFont="1" applyFill="1" applyBorder="1" applyAlignment="1">
      <alignment horizontal="right" vertical="center" wrapText="1"/>
    </xf>
    <xf numFmtId="3" fontId="21" fillId="8" borderId="0" xfId="0" applyNumberFormat="1" applyFont="1" applyFill="1" applyBorder="1" applyAlignment="1">
      <alignment horizontal="center" vertical="center" wrapText="1"/>
    </xf>
    <xf numFmtId="3" fontId="33" fillId="8" borderId="0" xfId="0" applyNumberFormat="1" applyFont="1" applyFill="1" applyBorder="1" applyAlignment="1">
      <alignment wrapText="1"/>
    </xf>
    <xf numFmtId="3" fontId="34" fillId="8" borderId="0" xfId="0" applyNumberFormat="1" applyFont="1" applyFill="1" applyBorder="1" applyAlignment="1">
      <alignment vertical="center" wrapText="1"/>
    </xf>
    <xf numFmtId="3" fontId="33" fillId="8" borderId="0" xfId="0" applyNumberFormat="1" applyFont="1" applyFill="1" applyBorder="1" applyAlignment="1">
      <alignment vertical="top" wrapText="1"/>
    </xf>
    <xf numFmtId="3" fontId="21" fillId="8" borderId="0" xfId="0" applyNumberFormat="1" applyFont="1" applyFill="1" applyBorder="1" applyAlignment="1">
      <alignment horizontal="right" vertical="center" wrapText="1"/>
    </xf>
    <xf numFmtId="3" fontId="33" fillId="8" borderId="0" xfId="0" applyNumberFormat="1" applyFont="1" applyFill="1" applyBorder="1" applyAlignment="1">
      <alignment horizontal="center" vertical="top" wrapText="1"/>
    </xf>
    <xf numFmtId="3" fontId="33" fillId="8" borderId="0" xfId="0" applyNumberFormat="1" applyFont="1" applyFill="1" applyBorder="1" applyAlignment="1">
      <alignment horizontal="right" wrapText="1"/>
    </xf>
    <xf numFmtId="3" fontId="33" fillId="8" borderId="0" xfId="0" applyNumberFormat="1" applyFont="1" applyFill="1" applyBorder="1" applyAlignment="1">
      <alignment horizontal="right" vertical="top" wrapText="1"/>
    </xf>
    <xf numFmtId="0" fontId="21" fillId="0" borderId="33" xfId="0" applyFont="1" applyBorder="1" applyAlignment="1">
      <alignment horizontal="center" vertical="center" wrapText="1"/>
    </xf>
    <xf numFmtId="0" fontId="21" fillId="0" borderId="19" xfId="0" applyFont="1" applyBorder="1" applyAlignment="1">
      <alignment horizontal="center" vertical="center" wrapText="1"/>
    </xf>
    <xf numFmtId="3" fontId="19" fillId="15" borderId="1" xfId="0" applyNumberFormat="1" applyFont="1" applyFill="1" applyBorder="1" applyAlignment="1">
      <alignment horizontal="center" vertical="center" wrapText="1"/>
    </xf>
    <xf numFmtId="3" fontId="3" fillId="17" borderId="1" xfId="0" applyNumberFormat="1" applyFont="1" applyFill="1" applyBorder="1" applyAlignment="1">
      <alignment horizontal="center" vertical="center"/>
    </xf>
    <xf numFmtId="3" fontId="2" fillId="10" borderId="1" xfId="0" applyNumberFormat="1" applyFont="1" applyFill="1" applyBorder="1" applyAlignment="1">
      <alignment vertical="distributed"/>
    </xf>
    <xf numFmtId="3" fontId="20" fillId="10" borderId="1" xfId="0" applyNumberFormat="1" applyFont="1" applyFill="1" applyBorder="1" applyAlignment="1">
      <alignment vertical="distributed"/>
    </xf>
    <xf numFmtId="3" fontId="21" fillId="17" borderId="1" xfId="0" applyNumberFormat="1" applyFont="1" applyFill="1" applyBorder="1" applyAlignment="1">
      <alignment vertical="distributed"/>
    </xf>
    <xf numFmtId="3" fontId="2" fillId="18" borderId="1" xfId="0" applyNumberFormat="1" applyFont="1" applyFill="1" applyBorder="1" applyAlignment="1">
      <alignment vertical="distributed"/>
    </xf>
    <xf numFmtId="3" fontId="20" fillId="18" borderId="1" xfId="0" applyNumberFormat="1" applyFont="1" applyFill="1" applyBorder="1" applyAlignment="1">
      <alignment vertical="distributed"/>
    </xf>
    <xf numFmtId="3" fontId="2" fillId="10" borderId="1" xfId="0" applyNumberFormat="1" applyFont="1" applyFill="1" applyBorder="1" applyAlignment="1">
      <alignment vertical="distributed" wrapText="1"/>
    </xf>
    <xf numFmtId="3" fontId="1" fillId="10" borderId="1" xfId="0" applyNumberFormat="1" applyFont="1" applyFill="1" applyBorder="1" applyAlignment="1">
      <alignment vertical="distributed" wrapText="1"/>
    </xf>
    <xf numFmtId="3" fontId="2" fillId="18" borderId="1" xfId="0" applyNumberFormat="1" applyFont="1" applyFill="1" applyBorder="1" applyAlignment="1">
      <alignment vertical="distributed" wrapText="1"/>
    </xf>
    <xf numFmtId="3" fontId="1" fillId="18" borderId="1" xfId="0" applyNumberFormat="1" applyFont="1" applyFill="1" applyBorder="1" applyAlignment="1">
      <alignment vertical="distributed" wrapText="1"/>
    </xf>
    <xf numFmtId="0" fontId="36" fillId="10" borderId="1" xfId="0" applyFont="1" applyFill="1" applyBorder="1" applyAlignment="1">
      <alignment vertical="center" wrapText="1"/>
    </xf>
    <xf numFmtId="0" fontId="36" fillId="18" borderId="1" xfId="0" applyFont="1" applyFill="1" applyBorder="1" applyAlignment="1">
      <alignment vertical="center" wrapText="1"/>
    </xf>
    <xf numFmtId="0" fontId="18" fillId="0" borderId="19"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19" xfId="0" applyNumberFormat="1" applyFont="1" applyFill="1" applyBorder="1" applyAlignment="1">
      <alignment horizontal="center" vertical="center" wrapText="1"/>
    </xf>
    <xf numFmtId="0" fontId="18" fillId="0" borderId="19" xfId="0" applyNumberFormat="1" applyFont="1" applyBorder="1" applyAlignment="1">
      <alignment horizontal="center" vertical="center" wrapText="1"/>
    </xf>
    <xf numFmtId="0" fontId="37" fillId="0" borderId="19" xfId="0" applyFont="1" applyBorder="1" applyAlignment="1">
      <alignment horizontal="left" vertical="center" wrapText="1"/>
    </xf>
    <xf numFmtId="0" fontId="31" fillId="0" borderId="48"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5" xfId="0" applyFont="1" applyBorder="1" applyAlignment="1">
      <alignment horizontal="center" vertical="center" wrapText="1"/>
    </xf>
    <xf numFmtId="0" fontId="31" fillId="0" borderId="15" xfId="0" applyNumberFormat="1" applyFont="1" applyFill="1" applyBorder="1" applyAlignment="1">
      <alignment horizontal="center" vertical="center" wrapText="1"/>
    </xf>
    <xf numFmtId="0" fontId="31" fillId="0" borderId="15" xfId="0" applyNumberFormat="1" applyFont="1" applyBorder="1" applyAlignment="1">
      <alignment horizontal="center" vertical="center" wrapText="1"/>
    </xf>
    <xf numFmtId="0" fontId="31" fillId="0" borderId="49" xfId="0" applyNumberFormat="1" applyFont="1" applyBorder="1" applyAlignment="1">
      <alignment horizontal="center" vertical="center" wrapText="1"/>
    </xf>
    <xf numFmtId="0" fontId="31" fillId="0" borderId="15" xfId="0" applyNumberFormat="1" applyFont="1" applyBorder="1" applyAlignment="1" applyProtection="1">
      <alignment horizontal="center" vertical="center"/>
      <protection locked="0"/>
    </xf>
    <xf numFmtId="0" fontId="31" fillId="0" borderId="35" xfId="0" applyFont="1" applyBorder="1" applyAlignment="1">
      <alignment horizontal="justify" vertical="center" wrapText="1"/>
    </xf>
    <xf numFmtId="0" fontId="37" fillId="0" borderId="35" xfId="0" applyFont="1" applyBorder="1" applyAlignment="1">
      <alignment horizontal="justify" vertical="center" wrapText="1"/>
    </xf>
    <xf numFmtId="0" fontId="37" fillId="0" borderId="34" xfId="0" applyFont="1" applyBorder="1" applyAlignment="1">
      <alignment horizontal="justify" vertical="center" wrapText="1"/>
    </xf>
    <xf numFmtId="0" fontId="37" fillId="0" borderId="47" xfId="0" applyFont="1" applyBorder="1" applyAlignment="1">
      <alignment horizontal="justify" vertical="center" wrapText="1"/>
    </xf>
    <xf numFmtId="0" fontId="37" fillId="0" borderId="47" xfId="0" applyFont="1" applyBorder="1" applyAlignment="1">
      <alignment horizontal="left" vertical="center" wrapText="1"/>
    </xf>
    <xf numFmtId="0" fontId="38" fillId="20" borderId="33" xfId="0" applyFont="1" applyFill="1" applyBorder="1" applyAlignment="1">
      <alignment horizontal="justify" vertical="center" wrapText="1"/>
    </xf>
    <xf numFmtId="0" fontId="38" fillId="20" borderId="19" xfId="0" applyFont="1" applyFill="1" applyBorder="1" applyAlignment="1">
      <alignment horizontal="left" vertical="center" wrapText="1"/>
    </xf>
    <xf numFmtId="0" fontId="38" fillId="21" borderId="33" xfId="0" applyFont="1" applyFill="1" applyBorder="1" applyAlignment="1">
      <alignment horizontal="justify" vertical="center" wrapText="1"/>
    </xf>
    <xf numFmtId="0" fontId="38" fillId="21" borderId="19" xfId="0" applyFont="1" applyFill="1" applyBorder="1" applyAlignment="1">
      <alignment horizontal="justify" vertical="center" wrapText="1"/>
    </xf>
    <xf numFmtId="0" fontId="37" fillId="20" borderId="19" xfId="0" applyFont="1" applyFill="1" applyBorder="1" applyAlignment="1">
      <alignment horizontal="justify" vertical="center" wrapText="1"/>
    </xf>
    <xf numFmtId="0" fontId="1" fillId="8" borderId="0" xfId="0" applyFont="1" applyFill="1"/>
    <xf numFmtId="0" fontId="4" fillId="0" borderId="0" xfId="0" applyFont="1" applyBorder="1" applyAlignment="1">
      <alignment horizontal="center" vertical="center"/>
    </xf>
    <xf numFmtId="0" fontId="31" fillId="20" borderId="19" xfId="0" applyFont="1" applyFill="1" applyBorder="1" applyAlignment="1">
      <alignment horizontal="right" vertical="center" wrapText="1"/>
    </xf>
    <xf numFmtId="4" fontId="31" fillId="20" borderId="19" xfId="0" applyNumberFormat="1" applyFont="1" applyFill="1" applyBorder="1" applyAlignment="1">
      <alignment horizontal="right" vertical="center" wrapText="1"/>
    </xf>
    <xf numFmtId="0" fontId="32" fillId="20" borderId="19" xfId="0" applyFont="1" applyFill="1" applyBorder="1" applyAlignment="1">
      <alignment horizontal="right" vertical="center" wrapText="1"/>
    </xf>
    <xf numFmtId="0" fontId="31" fillId="21" borderId="19" xfId="0" applyFont="1" applyFill="1" applyBorder="1" applyAlignment="1">
      <alignment horizontal="right" vertical="center" wrapText="1"/>
    </xf>
    <xf numFmtId="4" fontId="31" fillId="21" borderId="19" xfId="0" applyNumberFormat="1" applyFont="1" applyFill="1" applyBorder="1" applyAlignment="1">
      <alignment horizontal="right" vertical="center" wrapText="1"/>
    </xf>
    <xf numFmtId="2" fontId="2" fillId="8" borderId="0" xfId="0" applyNumberFormat="1" applyFont="1" applyFill="1"/>
    <xf numFmtId="3" fontId="32" fillId="0" borderId="19" xfId="0" applyNumberFormat="1" applyFont="1" applyBorder="1" applyAlignment="1">
      <alignment horizontal="right" vertical="center" wrapText="1"/>
    </xf>
    <xf numFmtId="3" fontId="32" fillId="19" borderId="19" xfId="0" applyNumberFormat="1" applyFont="1" applyFill="1" applyBorder="1" applyAlignment="1">
      <alignment horizontal="right" vertical="center" wrapText="1"/>
    </xf>
    <xf numFmtId="3" fontId="31" fillId="20" borderId="19" xfId="0" applyNumberFormat="1" applyFont="1" applyFill="1" applyBorder="1" applyAlignment="1">
      <alignment horizontal="right" vertical="center" wrapText="1"/>
    </xf>
    <xf numFmtId="3" fontId="32" fillId="20" borderId="19" xfId="0" applyNumberFormat="1" applyFont="1" applyFill="1" applyBorder="1" applyAlignment="1">
      <alignment horizontal="right" vertical="center" wrapText="1"/>
    </xf>
    <xf numFmtId="3" fontId="31" fillId="21" borderId="19" xfId="0" applyNumberFormat="1" applyFont="1" applyFill="1" applyBorder="1" applyAlignment="1">
      <alignment horizontal="right" vertical="center" wrapText="1"/>
    </xf>
    <xf numFmtId="4" fontId="32" fillId="20" borderId="19" xfId="0" applyNumberFormat="1" applyFont="1" applyFill="1" applyBorder="1" applyAlignment="1">
      <alignment horizontal="right" vertical="center" wrapText="1"/>
    </xf>
    <xf numFmtId="0" fontId="37" fillId="0" borderId="19" xfId="0" applyFont="1" applyBorder="1" applyAlignment="1">
      <alignment horizontal="justify" vertical="center" wrapText="1"/>
    </xf>
    <xf numFmtId="0" fontId="37" fillId="0" borderId="33" xfId="0" applyFont="1" applyBorder="1" applyAlignment="1">
      <alignment horizontal="center" vertical="center" wrapText="1"/>
    </xf>
    <xf numFmtId="0" fontId="39" fillId="0" borderId="19" xfId="0" applyFont="1" applyBorder="1" applyAlignment="1">
      <alignment horizontal="left" vertical="center" wrapText="1"/>
    </xf>
    <xf numFmtId="2" fontId="40" fillId="8" borderId="0" xfId="0" applyNumberFormat="1" applyFont="1" applyFill="1"/>
    <xf numFmtId="4" fontId="32" fillId="19" borderId="19" xfId="0" applyNumberFormat="1" applyFont="1" applyFill="1" applyBorder="1" applyAlignment="1">
      <alignment horizontal="right" vertical="center" wrapText="1"/>
    </xf>
    <xf numFmtId="0" fontId="41" fillId="0" borderId="19" xfId="0" applyFont="1" applyBorder="1" applyAlignment="1">
      <alignment horizontal="left" vertical="center" wrapText="1"/>
    </xf>
    <xf numFmtId="0" fontId="42" fillId="0" borderId="19" xfId="0" applyNumberFormat="1" applyFont="1" applyBorder="1" applyAlignment="1">
      <alignment horizontal="center" vertical="center" wrapText="1"/>
    </xf>
    <xf numFmtId="4" fontId="30" fillId="8" borderId="0" xfId="0" applyNumberFormat="1" applyFont="1" applyFill="1" applyAlignment="1"/>
    <xf numFmtId="3" fontId="30" fillId="8" borderId="0" xfId="1" applyNumberFormat="1" applyFont="1" applyFill="1" applyAlignment="1"/>
    <xf numFmtId="3" fontId="30" fillId="8" borderId="0" xfId="0" applyNumberFormat="1" applyFont="1" applyFill="1" applyAlignment="1"/>
    <xf numFmtId="4" fontId="30" fillId="8" borderId="0" xfId="0" applyNumberFormat="1" applyFont="1" applyFill="1"/>
    <xf numFmtId="16" fontId="30" fillId="8" borderId="0" xfId="0" applyNumberFormat="1" applyFont="1" applyFill="1"/>
    <xf numFmtId="0" fontId="30" fillId="8" borderId="0" xfId="0" applyFont="1" applyFill="1"/>
    <xf numFmtId="4" fontId="44" fillId="8" borderId="0" xfId="0" applyNumberFormat="1" applyFont="1" applyFill="1"/>
    <xf numFmtId="0" fontId="38" fillId="0" borderId="19" xfId="0" applyFont="1" applyBorder="1" applyAlignment="1">
      <alignment horizontal="center" vertical="center" wrapText="1"/>
    </xf>
    <xf numFmtId="4" fontId="32" fillId="8" borderId="19" xfId="0" applyNumberFormat="1" applyFont="1" applyFill="1" applyBorder="1" applyAlignment="1">
      <alignment horizontal="right" vertical="center" wrapText="1"/>
    </xf>
    <xf numFmtId="173" fontId="6" fillId="8" borderId="0" xfId="0" applyNumberFormat="1" applyFont="1" applyFill="1" applyBorder="1"/>
    <xf numFmtId="174" fontId="0" fillId="8" borderId="0" xfId="0" applyNumberFormat="1" applyFont="1" applyFill="1"/>
    <xf numFmtId="4" fontId="43" fillId="19" borderId="19" xfId="0" applyNumberFormat="1" applyFont="1" applyFill="1" applyBorder="1" applyAlignment="1">
      <alignment horizontal="right" vertical="center" wrapText="1"/>
    </xf>
    <xf numFmtId="0" fontId="21" fillId="0" borderId="20" xfId="0" applyFont="1" applyBorder="1" applyAlignment="1">
      <alignment horizontal="justify" vertical="center" wrapText="1"/>
    </xf>
    <xf numFmtId="0" fontId="46" fillId="8" borderId="0" xfId="0" applyFont="1" applyFill="1" applyBorder="1"/>
    <xf numFmtId="4" fontId="45" fillId="8" borderId="0" xfId="0" applyNumberFormat="1" applyFont="1" applyFill="1"/>
    <xf numFmtId="3" fontId="46" fillId="8" borderId="0" xfId="0" applyNumberFormat="1" applyFont="1" applyFill="1" applyBorder="1" applyAlignment="1">
      <alignment vertical="center" wrapText="1"/>
    </xf>
    <xf numFmtId="3" fontId="46" fillId="8" borderId="0" xfId="0" applyNumberFormat="1" applyFont="1" applyFill="1" applyBorder="1" applyAlignment="1"/>
    <xf numFmtId="3" fontId="46" fillId="8" borderId="0" xfId="0" applyNumberFormat="1" applyFont="1" applyFill="1" applyBorder="1" applyAlignment="1">
      <alignment horizontal="right" vertical="center" wrapText="1"/>
    </xf>
    <xf numFmtId="3" fontId="46" fillId="8" borderId="0" xfId="0" applyNumberFormat="1" applyFont="1" applyFill="1" applyBorder="1"/>
    <xf numFmtId="0" fontId="46" fillId="8" borderId="0" xfId="0" applyFont="1" applyFill="1"/>
    <xf numFmtId="4" fontId="47" fillId="8" borderId="0" xfId="0" applyNumberFormat="1" applyFont="1" applyFill="1"/>
    <xf numFmtId="4" fontId="6" fillId="8" borderId="0" xfId="0" applyNumberFormat="1" applyFont="1" applyFill="1" applyBorder="1"/>
    <xf numFmtId="0" fontId="48" fillId="8" borderId="0" xfId="0" applyFont="1" applyFill="1" applyAlignment="1">
      <alignment vertical="center" wrapText="1"/>
    </xf>
    <xf numFmtId="0" fontId="49" fillId="8" borderId="0" xfId="0" applyFont="1" applyFill="1" applyAlignment="1">
      <alignment vertical="top" wrapText="1"/>
    </xf>
    <xf numFmtId="0" fontId="50" fillId="8" borderId="0" xfId="0" applyFont="1" applyFill="1" applyAlignment="1">
      <alignment vertical="top" wrapText="1"/>
    </xf>
    <xf numFmtId="172" fontId="50" fillId="8" borderId="0" xfId="0" applyNumberFormat="1" applyFont="1" applyFill="1" applyAlignment="1">
      <alignment vertical="top" wrapText="1"/>
    </xf>
    <xf numFmtId="3" fontId="50" fillId="8" borderId="0" xfId="0" applyNumberFormat="1" applyFont="1" applyFill="1" applyAlignment="1">
      <alignment wrapText="1"/>
    </xf>
    <xf numFmtId="3" fontId="50" fillId="8" borderId="0" xfId="0" applyNumberFormat="1" applyFont="1" applyFill="1" applyAlignment="1">
      <alignment vertical="top" wrapText="1"/>
    </xf>
    <xf numFmtId="3" fontId="35" fillId="2" borderId="50" xfId="0" applyNumberFormat="1" applyFont="1" applyFill="1" applyBorder="1" applyAlignment="1">
      <alignment horizontal="center" vertical="center" wrapText="1"/>
    </xf>
    <xf numFmtId="3" fontId="35" fillId="2" borderId="51" xfId="0" applyNumberFormat="1" applyFont="1" applyFill="1" applyBorder="1" applyAlignment="1">
      <alignment horizontal="center" vertical="center" wrapText="1"/>
    </xf>
    <xf numFmtId="1" fontId="35" fillId="2" borderId="51" xfId="0" applyNumberFormat="1" applyFont="1" applyFill="1" applyBorder="1" applyAlignment="1">
      <alignment horizontal="center" vertical="center" wrapText="1"/>
    </xf>
    <xf numFmtId="3" fontId="35" fillId="2" borderId="52" xfId="0" applyNumberFormat="1" applyFont="1" applyFill="1" applyBorder="1" applyAlignment="1">
      <alignment horizontal="center" vertical="center" wrapText="1"/>
    </xf>
    <xf numFmtId="0" fontId="24" fillId="2" borderId="53" xfId="0" applyFont="1" applyFill="1" applyBorder="1" applyAlignment="1">
      <alignment horizontal="center" vertical="top" wrapText="1"/>
    </xf>
    <xf numFmtId="0" fontId="24" fillId="2" borderId="54" xfId="0" applyFont="1" applyFill="1" applyBorder="1" applyAlignment="1">
      <alignment horizontal="center" vertical="top" wrapText="1"/>
    </xf>
    <xf numFmtId="1" fontId="24" fillId="2" borderId="54" xfId="0" applyNumberFormat="1" applyFont="1" applyFill="1" applyBorder="1" applyAlignment="1">
      <alignment horizontal="center" vertical="top" wrapText="1"/>
    </xf>
    <xf numFmtId="0" fontId="24" fillId="2" borderId="55" xfId="0" applyFont="1" applyFill="1" applyBorder="1" applyAlignment="1">
      <alignment horizontal="center" vertical="top" wrapText="1"/>
    </xf>
    <xf numFmtId="3" fontId="3" fillId="16" borderId="53" xfId="0" applyNumberFormat="1" applyFont="1" applyFill="1" applyBorder="1" applyAlignment="1">
      <alignment vertical="top" wrapText="1"/>
    </xf>
    <xf numFmtId="3" fontId="24" fillId="16" borderId="54" xfId="0" applyNumberFormat="1" applyFont="1" applyFill="1" applyBorder="1" applyAlignment="1">
      <alignment horizontal="left" vertical="top" wrapText="1"/>
    </xf>
    <xf numFmtId="1" fontId="1" fillId="16" borderId="54" xfId="7" applyNumberFormat="1" applyFont="1" applyFill="1" applyBorder="1" applyAlignment="1">
      <alignment horizontal="center" vertical="top" wrapText="1"/>
    </xf>
    <xf numFmtId="3" fontId="19" fillId="16" borderId="54" xfId="0" applyNumberFormat="1" applyFont="1" applyFill="1" applyBorder="1" applyAlignment="1">
      <alignment vertical="top" wrapText="1"/>
    </xf>
    <xf numFmtId="9" fontId="1" fillId="16" borderId="54" xfId="7" applyFont="1" applyFill="1" applyBorder="1" applyAlignment="1">
      <alignment vertical="top" wrapText="1"/>
    </xf>
    <xf numFmtId="3" fontId="1" fillId="16" borderId="54" xfId="0" applyNumberFormat="1" applyFont="1" applyFill="1" applyBorder="1" applyAlignment="1">
      <alignment vertical="top" wrapText="1"/>
    </xf>
    <xf numFmtId="3" fontId="3" fillId="2" borderId="54" xfId="0" applyNumberFormat="1" applyFont="1" applyFill="1" applyBorder="1" applyAlignment="1">
      <alignment horizontal="center" vertical="center" wrapText="1"/>
    </xf>
    <xf numFmtId="9" fontId="3" fillId="2" borderId="55" xfId="0" applyNumberFormat="1" applyFont="1" applyFill="1" applyBorder="1" applyAlignment="1">
      <alignment horizontal="center" vertical="center" wrapText="1"/>
    </xf>
    <xf numFmtId="3" fontId="3" fillId="15" borderId="53" xfId="0" applyNumberFormat="1" applyFont="1" applyFill="1" applyBorder="1" applyAlignment="1">
      <alignment horizontal="left" vertical="top" wrapText="1"/>
    </xf>
    <xf numFmtId="3" fontId="24" fillId="15" borderId="54" xfId="0" applyNumberFormat="1" applyFont="1" applyFill="1" applyBorder="1" applyAlignment="1">
      <alignment horizontal="left" vertical="top" wrapText="1"/>
    </xf>
    <xf numFmtId="1" fontId="1" fillId="15" borderId="54" xfId="0" applyNumberFormat="1" applyFont="1" applyFill="1" applyBorder="1" applyAlignment="1">
      <alignment horizontal="center" vertical="top" wrapText="1"/>
    </xf>
    <xf numFmtId="3" fontId="1" fillId="15" borderId="54" xfId="0" applyNumberFormat="1" applyFont="1" applyFill="1" applyBorder="1" applyAlignment="1">
      <alignment vertical="top" wrapText="1"/>
    </xf>
    <xf numFmtId="3" fontId="3" fillId="15" borderId="54" xfId="0" applyNumberFormat="1" applyFont="1" applyFill="1" applyBorder="1" applyAlignment="1">
      <alignment horizontal="left" vertical="top" wrapText="1"/>
    </xf>
    <xf numFmtId="4" fontId="16" fillId="15" borderId="54" xfId="7" applyNumberFormat="1" applyFont="1" applyFill="1" applyBorder="1" applyAlignment="1">
      <alignment horizontal="right" vertical="top" wrapText="1"/>
    </xf>
    <xf numFmtId="4" fontId="16" fillId="15" borderId="54" xfId="0" applyNumberFormat="1" applyFont="1" applyFill="1" applyBorder="1" applyAlignment="1">
      <alignment horizontal="right" vertical="top" wrapText="1"/>
    </xf>
    <xf numFmtId="9" fontId="16" fillId="15" borderId="55" xfId="0" applyNumberFormat="1" applyFont="1" applyFill="1" applyBorder="1" applyAlignment="1">
      <alignment horizontal="right" vertical="top" wrapText="1"/>
    </xf>
    <xf numFmtId="0" fontId="3" fillId="2" borderId="54" xfId="0" applyNumberFormat="1" applyFont="1" applyFill="1" applyBorder="1" applyAlignment="1">
      <alignment horizontal="center" vertical="center" wrapText="1"/>
    </xf>
    <xf numFmtId="4" fontId="3" fillId="2" borderId="54" xfId="7" applyNumberFormat="1" applyFont="1" applyFill="1" applyBorder="1" applyAlignment="1">
      <alignment horizontal="center" vertical="center" wrapText="1"/>
    </xf>
    <xf numFmtId="4" fontId="3" fillId="2" borderId="54" xfId="0" applyNumberFormat="1" applyFont="1" applyFill="1" applyBorder="1" applyAlignment="1">
      <alignment horizontal="center" vertical="center" wrapText="1"/>
    </xf>
    <xf numFmtId="1" fontId="1" fillId="16" borderId="54" xfId="0" applyNumberFormat="1" applyFont="1" applyFill="1" applyBorder="1" applyAlignment="1">
      <alignment horizontal="center" vertical="top" wrapText="1"/>
    </xf>
    <xf numFmtId="9" fontId="26" fillId="16" borderId="54" xfId="7" applyFont="1" applyFill="1" applyBorder="1" applyAlignment="1">
      <alignment vertical="top" wrapText="1"/>
    </xf>
    <xf numFmtId="3" fontId="27" fillId="16" borderId="53" xfId="0" applyNumberFormat="1" applyFont="1" applyFill="1" applyBorder="1" applyAlignment="1">
      <alignment vertical="top" wrapText="1"/>
    </xf>
    <xf numFmtId="3" fontId="1" fillId="16" borderId="54" xfId="0" applyNumberFormat="1" applyFont="1" applyFill="1" applyBorder="1" applyAlignment="1">
      <alignment horizontal="center" vertical="top" wrapText="1"/>
    </xf>
    <xf numFmtId="9" fontId="19" fillId="16" borderId="54" xfId="7" applyFont="1" applyFill="1" applyBorder="1" applyAlignment="1">
      <alignment vertical="top" wrapText="1"/>
    </xf>
    <xf numFmtId="3" fontId="19" fillId="16" borderId="54" xfId="0" applyNumberFormat="1" applyFont="1" applyFill="1" applyBorder="1" applyAlignment="1">
      <alignment horizontal="left" vertical="top" wrapText="1"/>
    </xf>
    <xf numFmtId="3" fontId="19" fillId="16" borderId="54" xfId="0" applyNumberFormat="1" applyFont="1" applyFill="1" applyBorder="1" applyAlignment="1">
      <alignment horizontal="center" vertical="top" wrapText="1"/>
    </xf>
    <xf numFmtId="9" fontId="19" fillId="16" borderId="54" xfId="0" applyNumberFormat="1" applyFont="1" applyFill="1" applyBorder="1" applyAlignment="1">
      <alignment vertical="top" wrapText="1"/>
    </xf>
    <xf numFmtId="3" fontId="3" fillId="15" borderId="56" xfId="0" applyNumberFormat="1" applyFont="1" applyFill="1" applyBorder="1" applyAlignment="1">
      <alignment horizontal="left" vertical="top" wrapText="1"/>
    </xf>
    <xf numFmtId="3" fontId="24" fillId="15" borderId="57" xfId="0" applyNumberFormat="1" applyFont="1" applyFill="1" applyBorder="1" applyAlignment="1">
      <alignment horizontal="left" vertical="top" wrapText="1"/>
    </xf>
    <xf numFmtId="1" fontId="1" fillId="15" borderId="57" xfId="0" applyNumberFormat="1" applyFont="1" applyFill="1" applyBorder="1" applyAlignment="1">
      <alignment horizontal="center" vertical="top" wrapText="1"/>
    </xf>
    <xf numFmtId="3" fontId="1" fillId="15" borderId="57" xfId="0" applyNumberFormat="1" applyFont="1" applyFill="1" applyBorder="1" applyAlignment="1">
      <alignment vertical="top" wrapText="1"/>
    </xf>
    <xf numFmtId="3" fontId="3" fillId="15" borderId="57" xfId="0" applyNumberFormat="1" applyFont="1" applyFill="1" applyBorder="1" applyAlignment="1">
      <alignment horizontal="left" vertical="top" wrapText="1"/>
    </xf>
    <xf numFmtId="3" fontId="3" fillId="19" borderId="54" xfId="0" applyNumberFormat="1" applyFont="1" applyFill="1" applyBorder="1" applyAlignment="1">
      <alignment horizontal="center" vertical="center" wrapText="1"/>
    </xf>
    <xf numFmtId="9" fontId="3" fillId="19" borderId="55" xfId="0" applyNumberFormat="1" applyFont="1" applyFill="1" applyBorder="1" applyAlignment="1">
      <alignment horizontal="center" vertical="center" wrapText="1"/>
    </xf>
    <xf numFmtId="3" fontId="3" fillId="16" borderId="53" xfId="0" applyNumberFormat="1" applyFont="1" applyFill="1" applyBorder="1" applyAlignment="1">
      <alignment horizontal="left" vertical="top" wrapText="1"/>
    </xf>
    <xf numFmtId="3" fontId="27" fillId="16" borderId="53" xfId="0" applyNumberFormat="1" applyFont="1" applyFill="1" applyBorder="1" applyAlignment="1">
      <alignment horizontal="left" vertical="top" wrapText="1"/>
    </xf>
    <xf numFmtId="3" fontId="25" fillId="16" borderId="54" xfId="0" applyNumberFormat="1" applyFont="1" applyFill="1" applyBorder="1" applyAlignment="1">
      <alignment vertical="top" wrapText="1"/>
    </xf>
    <xf numFmtId="9" fontId="1" fillId="16" borderId="54" xfId="0" applyNumberFormat="1" applyFont="1" applyFill="1" applyBorder="1" applyAlignment="1">
      <alignment vertical="top" wrapText="1"/>
    </xf>
    <xf numFmtId="0" fontId="19" fillId="16" borderId="54" xfId="0" applyFont="1" applyFill="1" applyBorder="1" applyAlignment="1">
      <alignment vertical="top" wrapText="1"/>
    </xf>
    <xf numFmtId="3" fontId="1" fillId="16" borderId="53" xfId="0" applyNumberFormat="1" applyFont="1" applyFill="1" applyBorder="1" applyAlignment="1">
      <alignment vertical="top" wrapText="1"/>
    </xf>
    <xf numFmtId="1" fontId="19" fillId="16" borderId="54" xfId="0" applyNumberFormat="1" applyFont="1" applyFill="1" applyBorder="1" applyAlignment="1">
      <alignment horizontal="center" vertical="top" wrapText="1"/>
    </xf>
    <xf numFmtId="4" fontId="24" fillId="15" borderId="54" xfId="7" applyNumberFormat="1" applyFont="1" applyFill="1" applyBorder="1" applyAlignment="1">
      <alignment horizontal="right" vertical="top" wrapText="1"/>
    </xf>
    <xf numFmtId="4" fontId="24" fillId="15" borderId="54" xfId="0" applyNumberFormat="1" applyFont="1" applyFill="1" applyBorder="1" applyAlignment="1">
      <alignment horizontal="right" vertical="top" wrapText="1"/>
    </xf>
    <xf numFmtId="9" fontId="24" fillId="15" borderId="55" xfId="0" applyNumberFormat="1" applyFont="1" applyFill="1" applyBorder="1" applyAlignment="1">
      <alignment horizontal="right" vertical="top" wrapText="1"/>
    </xf>
    <xf numFmtId="4" fontId="3" fillId="19" borderId="54" xfId="7" applyNumberFormat="1" applyFont="1" applyFill="1" applyBorder="1" applyAlignment="1">
      <alignment horizontal="center" vertical="center" wrapText="1"/>
    </xf>
    <xf numFmtId="3" fontId="24" fillId="15" borderId="54" xfId="0" applyNumberFormat="1" applyFont="1" applyFill="1" applyBorder="1" applyAlignment="1">
      <alignment horizontal="right" vertical="top" wrapText="1"/>
    </xf>
    <xf numFmtId="4" fontId="3" fillId="2" borderId="54" xfId="0" applyNumberFormat="1" applyFont="1" applyFill="1" applyBorder="1" applyAlignment="1">
      <alignment vertical="center" wrapText="1"/>
    </xf>
    <xf numFmtId="4" fontId="24" fillId="15" borderId="57" xfId="7" applyNumberFormat="1" applyFont="1" applyFill="1" applyBorder="1" applyAlignment="1">
      <alignment horizontal="right" vertical="top" wrapText="1"/>
    </xf>
    <xf numFmtId="4" fontId="24" fillId="15" borderId="57" xfId="0" applyNumberFormat="1" applyFont="1" applyFill="1" applyBorder="1" applyAlignment="1">
      <alignment horizontal="right" vertical="top" wrapText="1"/>
    </xf>
    <xf numFmtId="9" fontId="24" fillId="15" borderId="58" xfId="0" applyNumberFormat="1" applyFont="1" applyFill="1" applyBorder="1" applyAlignment="1">
      <alignment horizontal="right" vertical="top" wrapText="1"/>
    </xf>
    <xf numFmtId="0" fontId="2" fillId="0" borderId="59" xfId="0" applyFont="1" applyBorder="1" applyAlignment="1">
      <alignment vertical="center" wrapText="1"/>
    </xf>
    <xf numFmtId="0" fontId="51" fillId="0" borderId="59" xfId="0" applyFont="1" applyBorder="1" applyAlignment="1">
      <alignment vertical="center" wrapText="1"/>
    </xf>
    <xf numFmtId="3" fontId="21" fillId="18" borderId="68" xfId="0" applyNumberFormat="1" applyFont="1" applyFill="1" applyBorder="1" applyAlignment="1">
      <alignment vertical="center" wrapText="1"/>
    </xf>
    <xf numFmtId="3" fontId="21" fillId="18" borderId="62" xfId="0" applyNumberFormat="1" applyFont="1" applyFill="1" applyBorder="1" applyAlignment="1">
      <alignment vertical="center" wrapText="1"/>
    </xf>
    <xf numFmtId="3" fontId="21" fillId="18" borderId="65" xfId="0" applyNumberFormat="1" applyFont="1" applyFill="1" applyBorder="1" applyAlignment="1">
      <alignment vertical="center" wrapText="1"/>
    </xf>
    <xf numFmtId="3" fontId="21" fillId="15" borderId="67" xfId="0" applyNumberFormat="1" applyFont="1" applyFill="1" applyBorder="1" applyAlignment="1">
      <alignment vertical="center" wrapText="1"/>
    </xf>
    <xf numFmtId="3" fontId="21" fillId="15" borderId="61" xfId="0" applyNumberFormat="1" applyFont="1" applyFill="1" applyBorder="1" applyAlignment="1">
      <alignment vertical="center" wrapText="1"/>
    </xf>
    <xf numFmtId="3" fontId="21" fillId="15" borderId="64" xfId="0" applyNumberFormat="1" applyFont="1" applyFill="1" applyBorder="1" applyAlignment="1">
      <alignment vertical="center" wrapText="1"/>
    </xf>
    <xf numFmtId="3" fontId="2" fillId="18" borderId="66" xfId="0" applyNumberFormat="1" applyFont="1" applyFill="1" applyBorder="1" applyAlignment="1">
      <alignment vertical="center" wrapText="1"/>
    </xf>
    <xf numFmtId="3" fontId="2" fillId="18" borderId="60" xfId="0" applyNumberFormat="1" applyFont="1" applyFill="1" applyBorder="1" applyAlignment="1">
      <alignment vertical="center" wrapText="1"/>
    </xf>
    <xf numFmtId="3" fontId="2" fillId="18" borderId="63" xfId="0" applyNumberFormat="1" applyFont="1" applyFill="1" applyBorder="1" applyAlignment="1">
      <alignment vertical="center" wrapText="1"/>
    </xf>
    <xf numFmtId="3" fontId="2" fillId="10" borderId="67" xfId="0" applyNumberFormat="1" applyFont="1" applyFill="1" applyBorder="1" applyAlignment="1">
      <alignment vertical="center" wrapText="1"/>
    </xf>
    <xf numFmtId="3" fontId="2" fillId="10" borderId="61" xfId="0" applyNumberFormat="1" applyFont="1" applyFill="1" applyBorder="1" applyAlignment="1">
      <alignment vertical="center" wrapText="1"/>
    </xf>
    <xf numFmtId="3" fontId="2" fillId="10" borderId="64" xfId="0" applyNumberFormat="1" applyFont="1" applyFill="1" applyBorder="1" applyAlignment="1">
      <alignment vertical="center" wrapText="1"/>
    </xf>
    <xf numFmtId="3" fontId="2" fillId="18" borderId="67" xfId="0" applyNumberFormat="1" applyFont="1" applyFill="1" applyBorder="1" applyAlignment="1">
      <alignment vertical="center" wrapText="1"/>
    </xf>
    <xf numFmtId="3" fontId="2" fillId="18" borderId="61" xfId="0" applyNumberFormat="1" applyFont="1" applyFill="1" applyBorder="1" applyAlignment="1">
      <alignment vertical="center" wrapText="1"/>
    </xf>
    <xf numFmtId="3" fontId="2" fillId="18" borderId="64" xfId="0" applyNumberFormat="1" applyFont="1" applyFill="1" applyBorder="1" applyAlignment="1">
      <alignment vertical="center" wrapText="1"/>
    </xf>
    <xf numFmtId="3" fontId="2" fillId="16" borderId="67" xfId="0" applyNumberFormat="1" applyFont="1" applyFill="1" applyBorder="1" applyAlignment="1">
      <alignment vertical="center" wrapText="1"/>
    </xf>
    <xf numFmtId="3" fontId="2" fillId="16" borderId="61" xfId="0" applyNumberFormat="1" applyFont="1" applyFill="1" applyBorder="1" applyAlignment="1">
      <alignment vertical="center" wrapText="1"/>
    </xf>
    <xf numFmtId="3" fontId="2" fillId="16" borderId="64" xfId="0" applyNumberFormat="1" applyFont="1" applyFill="1" applyBorder="1" applyAlignment="1">
      <alignment vertical="center" wrapText="1"/>
    </xf>
    <xf numFmtId="0" fontId="52" fillId="18" borderId="71" xfId="0" applyFont="1" applyFill="1" applyBorder="1" applyAlignment="1">
      <alignment vertical="center" wrapText="1"/>
    </xf>
    <xf numFmtId="0" fontId="53" fillId="0" borderId="0" xfId="0" applyFont="1" applyBorder="1" applyAlignment="1">
      <alignment vertical="center"/>
    </xf>
    <xf numFmtId="0" fontId="51" fillId="8" borderId="0" xfId="0" applyFont="1" applyFill="1" applyBorder="1"/>
    <xf numFmtId="0" fontId="53" fillId="0" borderId="0" xfId="0" applyFont="1" applyBorder="1"/>
    <xf numFmtId="0" fontId="54" fillId="8" borderId="0" xfId="0" applyFont="1" applyFill="1" applyAlignment="1">
      <alignment horizontal="right"/>
    </xf>
    <xf numFmtId="0" fontId="52" fillId="15" borderId="72" xfId="0" applyFont="1" applyFill="1" applyBorder="1" applyAlignment="1">
      <alignment vertical="center" wrapText="1"/>
    </xf>
    <xf numFmtId="0" fontId="52" fillId="18" borderId="74" xfId="0" applyFont="1" applyFill="1" applyBorder="1" applyAlignment="1">
      <alignment vertical="center" wrapText="1"/>
    </xf>
    <xf numFmtId="1" fontId="52" fillId="10" borderId="75" xfId="0" applyNumberFormat="1" applyFont="1" applyFill="1" applyBorder="1" applyAlignment="1">
      <alignment horizontal="center" vertical="center" wrapText="1"/>
    </xf>
    <xf numFmtId="1" fontId="52" fillId="16" borderId="75" xfId="0" applyNumberFormat="1" applyFont="1" applyFill="1" applyBorder="1" applyAlignment="1">
      <alignment horizontal="center" vertical="center" wrapText="1"/>
    </xf>
    <xf numFmtId="3" fontId="24" fillId="16" borderId="54" xfId="0" applyNumberFormat="1" applyFont="1" applyFill="1" applyBorder="1" applyAlignment="1">
      <alignment vertical="top" wrapText="1"/>
    </xf>
    <xf numFmtId="3" fontId="16" fillId="15" borderId="54" xfId="0" applyNumberFormat="1" applyFont="1" applyFill="1" applyBorder="1" applyAlignment="1">
      <alignment horizontal="left" vertical="top" wrapText="1"/>
    </xf>
    <xf numFmtId="3" fontId="28" fillId="16" borderId="54" xfId="0" applyNumberFormat="1" applyFont="1" applyFill="1" applyBorder="1" applyAlignment="1">
      <alignment horizontal="left" vertical="top" wrapText="1"/>
    </xf>
    <xf numFmtId="3" fontId="59" fillId="15" borderId="54" xfId="0" applyNumberFormat="1" applyFont="1" applyFill="1" applyBorder="1" applyAlignment="1">
      <alignment horizontal="left" vertical="top"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38" xfId="0" applyFont="1" applyBorder="1" applyAlignment="1">
      <alignment horizontal="center" vertical="center"/>
    </xf>
    <xf numFmtId="0" fontId="29" fillId="0" borderId="18" xfId="0" applyFont="1" applyBorder="1" applyAlignment="1">
      <alignment horizontal="justify" vertical="center" wrapText="1"/>
    </xf>
    <xf numFmtId="0" fontId="29" fillId="0" borderId="0" xfId="0" applyFont="1" applyBorder="1" applyAlignment="1">
      <alignment horizontal="justify"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3" xfId="0" applyFont="1" applyBorder="1" applyAlignment="1">
      <alignment horizontal="justify" vertical="center" wrapText="1"/>
    </xf>
    <xf numFmtId="0" fontId="31" fillId="0" borderId="38" xfId="0" applyFont="1" applyBorder="1" applyAlignment="1">
      <alignment horizontal="justify" vertical="center" wrapText="1"/>
    </xf>
    <xf numFmtId="0" fontId="31" fillId="0" borderId="45" xfId="0" applyFont="1" applyBorder="1" applyAlignment="1">
      <alignment horizontal="justify" vertical="center" wrapText="1"/>
    </xf>
    <xf numFmtId="0" fontId="31" fillId="0" borderId="46" xfId="0" applyFont="1" applyBorder="1" applyAlignment="1">
      <alignment horizontal="justify" vertical="center" wrapText="1"/>
    </xf>
    <xf numFmtId="0" fontId="31"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0" fontId="31" fillId="0" borderId="32" xfId="0" applyFont="1" applyBorder="1" applyAlignment="1">
      <alignment horizontal="justify" vertical="center" wrapText="1"/>
    </xf>
    <xf numFmtId="0" fontId="31" fillId="0" borderId="42" xfId="0" applyFont="1" applyBorder="1" applyAlignment="1">
      <alignment horizontal="justify" vertical="center" wrapText="1"/>
    </xf>
    <xf numFmtId="0" fontId="31" fillId="0" borderId="20" xfId="0" applyFont="1" applyBorder="1" applyAlignment="1">
      <alignment horizontal="justify" vertical="center" wrapText="1"/>
    </xf>
    <xf numFmtId="0" fontId="31" fillId="0" borderId="39" xfId="0" applyFont="1" applyBorder="1" applyAlignment="1">
      <alignment horizontal="justify" vertical="center" wrapText="1"/>
    </xf>
    <xf numFmtId="0" fontId="31" fillId="0" borderId="40" xfId="0" applyFont="1" applyBorder="1" applyAlignment="1">
      <alignment horizontal="justify" vertical="center" wrapText="1"/>
    </xf>
    <xf numFmtId="0" fontId="31" fillId="0" borderId="41" xfId="0" applyFont="1" applyBorder="1" applyAlignment="1">
      <alignment horizontal="justify" vertical="center" wrapText="1"/>
    </xf>
    <xf numFmtId="0" fontId="31" fillId="0" borderId="43" xfId="0" applyFont="1" applyBorder="1" applyAlignment="1">
      <alignment horizontal="justify" vertical="center" wrapText="1"/>
    </xf>
    <xf numFmtId="0" fontId="31" fillId="0" borderId="44" xfId="0" applyFont="1" applyBorder="1" applyAlignment="1">
      <alignment horizontal="justify" vertical="center" wrapText="1"/>
    </xf>
    <xf numFmtId="0" fontId="7" fillId="6" borderId="20" xfId="2" applyFont="1" applyFill="1" applyBorder="1" applyAlignment="1">
      <alignment horizontal="center" vertical="top" wrapText="1"/>
    </xf>
    <xf numFmtId="0" fontId="7" fillId="6" borderId="0" xfId="2" applyFont="1" applyFill="1" applyBorder="1" applyAlignment="1">
      <alignment horizontal="center" vertical="top" wrapText="1"/>
    </xf>
    <xf numFmtId="0" fontId="7" fillId="6" borderId="21" xfId="2" applyFont="1" applyFill="1" applyBorder="1" applyAlignment="1">
      <alignment horizontal="center" vertical="top" wrapText="1"/>
    </xf>
    <xf numFmtId="0" fontId="7" fillId="3" borderId="13" xfId="2" applyFont="1" applyFill="1" applyBorder="1" applyAlignment="1">
      <alignment horizontal="center" wrapText="1"/>
    </xf>
    <xf numFmtId="0" fontId="7" fillId="3" borderId="14" xfId="2" applyFont="1" applyFill="1" applyBorder="1" applyAlignment="1">
      <alignment horizontal="center" wrapText="1"/>
    </xf>
    <xf numFmtId="0" fontId="7" fillId="3" borderId="15" xfId="2" applyFont="1" applyFill="1" applyBorder="1" applyAlignment="1">
      <alignment horizontal="center" wrapText="1"/>
    </xf>
    <xf numFmtId="0" fontId="7" fillId="4" borderId="13" xfId="2" applyFont="1" applyFill="1" applyBorder="1" applyAlignment="1">
      <alignment horizontal="center"/>
    </xf>
    <xf numFmtId="0" fontId="7" fillId="4" borderId="14" xfId="2" applyFont="1" applyFill="1" applyBorder="1" applyAlignment="1">
      <alignment horizontal="center"/>
    </xf>
    <xf numFmtId="0" fontId="7" fillId="4" borderId="15" xfId="2" applyFont="1" applyFill="1" applyBorder="1" applyAlignment="1">
      <alignment horizontal="center"/>
    </xf>
    <xf numFmtId="0" fontId="7" fillId="6" borderId="1" xfId="2" applyFont="1" applyFill="1" applyBorder="1" applyAlignment="1">
      <alignment horizontal="center" vertical="center" wrapText="1"/>
    </xf>
    <xf numFmtId="0" fontId="7" fillId="6" borderId="17" xfId="2" applyFont="1" applyFill="1" applyBorder="1" applyAlignment="1">
      <alignment horizontal="center" vertical="center" wrapText="1"/>
    </xf>
    <xf numFmtId="0" fontId="7" fillId="6" borderId="18" xfId="2" applyFont="1" applyFill="1" applyBorder="1" applyAlignment="1">
      <alignment horizontal="center" vertical="center" wrapText="1"/>
    </xf>
    <xf numFmtId="0" fontId="7" fillId="6" borderId="19" xfId="2" applyFont="1" applyFill="1" applyBorder="1" applyAlignment="1">
      <alignment horizontal="center" vertical="center" wrapText="1"/>
    </xf>
    <xf numFmtId="3" fontId="24" fillId="16" borderId="54" xfId="0" applyNumberFormat="1" applyFont="1" applyFill="1" applyBorder="1" applyAlignment="1">
      <alignment horizontal="left" vertical="top" wrapText="1"/>
    </xf>
    <xf numFmtId="3" fontId="3" fillId="16" borderId="53" xfId="0" applyNumberFormat="1" applyFont="1" applyFill="1" applyBorder="1" applyAlignment="1">
      <alignment horizontal="left" vertical="top" wrapText="1"/>
    </xf>
    <xf numFmtId="3" fontId="19" fillId="16" borderId="54" xfId="0" applyNumberFormat="1" applyFont="1" applyFill="1" applyBorder="1" applyAlignment="1">
      <alignment horizontal="left" vertical="top" wrapText="1"/>
    </xf>
    <xf numFmtId="9" fontId="1" fillId="16" borderId="54" xfId="0" applyNumberFormat="1" applyFont="1" applyFill="1" applyBorder="1" applyAlignment="1">
      <alignment horizontal="left" vertical="top" wrapText="1"/>
    </xf>
    <xf numFmtId="3" fontId="1" fillId="16" borderId="54" xfId="0" applyNumberFormat="1" applyFont="1" applyFill="1" applyBorder="1" applyAlignment="1">
      <alignment horizontal="left" vertical="top" wrapText="1"/>
    </xf>
    <xf numFmtId="3" fontId="1" fillId="16" borderId="54" xfId="0" applyNumberFormat="1" applyFont="1" applyFill="1" applyBorder="1" applyAlignment="1">
      <alignment horizontal="center" vertical="top" wrapText="1"/>
    </xf>
    <xf numFmtId="0" fontId="21" fillId="15" borderId="2" xfId="0" applyFont="1" applyFill="1" applyBorder="1" applyAlignment="1">
      <alignment horizontal="center" vertical="center" wrapText="1"/>
    </xf>
    <xf numFmtId="0" fontId="21" fillId="15" borderId="4" xfId="0" applyFont="1" applyFill="1" applyBorder="1" applyAlignment="1">
      <alignment horizontal="center" vertical="center" wrapText="1"/>
    </xf>
    <xf numFmtId="0" fontId="21" fillId="15" borderId="2" xfId="0" applyFont="1" applyFill="1" applyBorder="1" applyAlignment="1">
      <alignment horizontal="left" vertical="center" wrapText="1"/>
    </xf>
    <xf numFmtId="0" fontId="21" fillId="15" borderId="4" xfId="0" applyFont="1" applyFill="1" applyBorder="1" applyAlignment="1">
      <alignment horizontal="left" vertical="center" wrapText="1"/>
    </xf>
    <xf numFmtId="3" fontId="21" fillId="17" borderId="1" xfId="0" applyNumberFormat="1" applyFont="1" applyFill="1" applyBorder="1" applyAlignment="1">
      <alignment horizontal="center"/>
    </xf>
    <xf numFmtId="3" fontId="21" fillId="17" borderId="1" xfId="0" applyNumberFormat="1" applyFont="1" applyFill="1" applyBorder="1" applyAlignment="1">
      <alignment horizontal="center" wrapText="1"/>
    </xf>
    <xf numFmtId="0" fontId="2" fillId="10" borderId="69" xfId="0" applyFont="1" applyFill="1" applyBorder="1" applyAlignment="1">
      <alignment horizontal="center" vertical="center" wrapText="1"/>
    </xf>
    <xf numFmtId="0" fontId="2" fillId="10" borderId="70" xfId="0" applyFont="1" applyFill="1" applyBorder="1" applyAlignment="1">
      <alignment horizontal="center" vertical="center" wrapText="1"/>
    </xf>
    <xf numFmtId="0" fontId="2" fillId="16" borderId="70" xfId="0" applyFont="1" applyFill="1" applyBorder="1" applyAlignment="1">
      <alignment horizontal="center" vertical="center" wrapText="1"/>
    </xf>
    <xf numFmtId="3" fontId="2" fillId="18" borderId="61" xfId="0" applyNumberFormat="1" applyFont="1" applyFill="1" applyBorder="1" applyAlignment="1">
      <alignment vertical="center" wrapText="1"/>
    </xf>
    <xf numFmtId="3" fontId="2" fillId="16" borderId="61" xfId="0" applyNumberFormat="1" applyFont="1" applyFill="1" applyBorder="1" applyAlignment="1">
      <alignment vertical="center" wrapText="1"/>
    </xf>
    <xf numFmtId="0" fontId="21" fillId="18" borderId="70" xfId="0" applyFont="1" applyFill="1" applyBorder="1" applyAlignment="1">
      <alignment horizontal="right" vertical="center" wrapText="1"/>
    </xf>
    <xf numFmtId="0" fontId="21" fillId="18" borderId="73" xfId="0" applyFont="1" applyFill="1" applyBorder="1" applyAlignment="1">
      <alignment horizontal="right"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1"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30" xfId="0" applyFont="1" applyBorder="1" applyAlignment="1">
      <alignment horizontal="center" vertical="top" wrapText="1"/>
    </xf>
    <xf numFmtId="0" fontId="1" fillId="0" borderId="0"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29"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3" fillId="0" borderId="1" xfId="0" applyFont="1" applyBorder="1" applyAlignment="1">
      <alignment horizontal="left" vertical="top" wrapText="1"/>
    </xf>
  </cellXfs>
  <cellStyles count="11">
    <cellStyle name="Comma" xfId="1" builtinId="3"/>
    <cellStyle name="Comma 2" xfId="4"/>
    <cellStyle name="Comma 2 2" xfId="9"/>
    <cellStyle name="Comma 3" xfId="5"/>
    <cellStyle name="Comma 3 2" xfId="10"/>
    <cellStyle name="Comma 4" xfId="8"/>
    <cellStyle name="Normal" xfId="0" builtinId="0"/>
    <cellStyle name="Normal 2" xfId="2"/>
    <cellStyle name="Normal 3" xfId="6"/>
    <cellStyle name="Percent" xfId="7" builtinId="5"/>
    <cellStyle name="Percent 2" xfId="3"/>
  </cellStyles>
  <dxfs count="0"/>
  <tableStyles count="0" defaultTableStyle="TableStyleMedium2" defaultPivotStyle="PivotStyleLight16"/>
  <colors>
    <mruColors>
      <color rgb="FFCCECFF"/>
      <color rgb="FFCCC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0</xdr:col>
      <xdr:colOff>2768621</xdr:colOff>
      <xdr:row>1</xdr:row>
      <xdr:rowOff>593661</xdr:rowOff>
    </xdr:to>
    <xdr:sp macro="" textlink="">
      <xdr:nvSpPr>
        <xdr:cNvPr id="2" name="B43B9E99-EEEB-43E0-84A8-B82E90D6F7D8">
          <a:extLst>
            <a:ext uri="{FF2B5EF4-FFF2-40B4-BE49-F238E27FC236}">
              <a16:creationId xmlns:a16="http://schemas.microsoft.com/office/drawing/2014/main" id="{00000000-0008-0000-0300-000002000000}"/>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US" sz="1300" b="1"/>
            <a:t>3D Maps Tours
</a:t>
          </a:r>
          <a:r>
            <a:rPr lang="en-US" sz="1100"/>
            <a:t>This workbook has 3D Maps tours available.
Open 3D Maps to edit or play the tours.</a:t>
          </a:r>
          <a:endParaRPr lang="bg-BG"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71439</xdr:colOff>
      <xdr:row>61</xdr:row>
      <xdr:rowOff>51385</xdr:rowOff>
    </xdr:from>
    <xdr:to>
      <xdr:col>4</xdr:col>
      <xdr:colOff>1317015</xdr:colOff>
      <xdr:row>69</xdr:row>
      <xdr:rowOff>105699</xdr:rowOff>
    </xdr:to>
    <xdr:pic>
      <xdr:nvPicPr>
        <xdr:cNvPr id="8" name="Picture 7"/>
        <xdr:cNvPicPr>
          <a:picLocks noChangeAspect="1"/>
        </xdr:cNvPicPr>
      </xdr:nvPicPr>
      <xdr:blipFill>
        <a:blip xmlns:r="http://schemas.openxmlformats.org/officeDocument/2006/relationships" r:embed="rId1"/>
        <a:stretch>
          <a:fillRect/>
        </a:stretch>
      </xdr:blipFill>
      <xdr:spPr>
        <a:xfrm>
          <a:off x="71439" y="47914510"/>
          <a:ext cx="4191000" cy="1872002"/>
        </a:xfrm>
        <a:prstGeom prst="rect">
          <a:avLst/>
        </a:prstGeom>
      </xdr:spPr>
    </xdr:pic>
    <xdr:clientData/>
  </xdr:twoCellAnchor>
  <xdr:twoCellAnchor>
    <xdr:from>
      <xdr:col>4</xdr:col>
      <xdr:colOff>1484313</xdr:colOff>
      <xdr:row>60</xdr:row>
      <xdr:rowOff>119303</xdr:rowOff>
    </xdr:from>
    <xdr:to>
      <xdr:col>5</xdr:col>
      <xdr:colOff>873126</xdr:colOff>
      <xdr:row>70</xdr:row>
      <xdr:rowOff>39218</xdr:rowOff>
    </xdr:to>
    <xdr:pic>
      <xdr:nvPicPr>
        <xdr:cNvPr id="9" name="Picture 8"/>
        <xdr:cNvPicPr>
          <a:picLocks noChangeAspect="1"/>
        </xdr:cNvPicPr>
      </xdr:nvPicPr>
      <xdr:blipFill>
        <a:blip xmlns:r="http://schemas.openxmlformats.org/officeDocument/2006/relationships" r:embed="rId2"/>
        <a:stretch>
          <a:fillRect/>
        </a:stretch>
      </xdr:blipFill>
      <xdr:spPr>
        <a:xfrm>
          <a:off x="4516438" y="47831616"/>
          <a:ext cx="3809999" cy="20392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etailed%20distribut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distribu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10"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
  <sheetViews>
    <sheetView zoomScaleNormal="100" workbookViewId="0">
      <selection activeCell="E24" sqref="E24"/>
    </sheetView>
  </sheetViews>
  <sheetFormatPr defaultColWidth="8.85546875" defaultRowHeight="15" x14ac:dyDescent="0.25"/>
  <cols>
    <col min="1" max="1" width="12" style="129" customWidth="1"/>
    <col min="2" max="2" width="23.7109375" style="129" customWidth="1"/>
    <col min="3" max="3" width="7.28515625" style="129" customWidth="1"/>
    <col min="4" max="8" width="15.5703125" style="129" bestFit="1" customWidth="1"/>
    <col min="9" max="9" width="9" style="129" customWidth="1"/>
    <col min="10" max="10" width="15.5703125" style="129" bestFit="1" customWidth="1"/>
    <col min="11" max="11" width="7.5703125" style="129" customWidth="1"/>
    <col min="12" max="12" width="17" style="129" bestFit="1" customWidth="1"/>
    <col min="13" max="13" width="18.28515625" style="129" bestFit="1" customWidth="1"/>
    <col min="14" max="14" width="14.5703125" style="129" bestFit="1" customWidth="1"/>
    <col min="15" max="15" width="9.42578125" style="129" bestFit="1" customWidth="1"/>
    <col min="16" max="16" width="8" style="129" bestFit="1" customWidth="1"/>
    <col min="17" max="17" width="10" style="129" bestFit="1" customWidth="1"/>
    <col min="18" max="18" width="9.28515625" style="129" bestFit="1" customWidth="1"/>
    <col min="19" max="19" width="10" style="129" bestFit="1" customWidth="1"/>
    <col min="20" max="20" width="9.28515625" style="129" bestFit="1" customWidth="1"/>
    <col min="21" max="16384" width="8.85546875" style="129"/>
  </cols>
  <sheetData>
    <row r="2" spans="1:15" ht="15.75" thickBot="1" x14ac:dyDescent="0.3">
      <c r="A2" s="129" t="s">
        <v>0</v>
      </c>
      <c r="K2" s="241"/>
      <c r="L2" s="242" t="s">
        <v>1</v>
      </c>
      <c r="M2" s="241"/>
    </row>
    <row r="3" spans="1:15" ht="17.25" thickBot="1" x14ac:dyDescent="0.3">
      <c r="A3" s="381" t="s">
        <v>2</v>
      </c>
      <c r="B3" s="382"/>
      <c r="C3" s="382"/>
      <c r="D3" s="382"/>
      <c r="E3" s="382"/>
      <c r="F3" s="382"/>
      <c r="G3" s="382"/>
      <c r="H3" s="382"/>
      <c r="I3" s="382"/>
      <c r="J3" s="382"/>
      <c r="K3" s="382"/>
      <c r="L3" s="383"/>
    </row>
    <row r="4" spans="1:15" ht="16.5" thickBot="1" x14ac:dyDescent="0.3">
      <c r="A4" s="224" t="s">
        <v>3</v>
      </c>
      <c r="B4" s="225" t="s">
        <v>4</v>
      </c>
      <c r="C4" s="226">
        <v>2021</v>
      </c>
      <c r="D4" s="227">
        <v>2022</v>
      </c>
      <c r="E4" s="227">
        <v>2023</v>
      </c>
      <c r="F4" s="228">
        <v>2024</v>
      </c>
      <c r="G4" s="228">
        <v>2025</v>
      </c>
      <c r="H4" s="229">
        <v>2026</v>
      </c>
      <c r="I4" s="228"/>
      <c r="J4" s="230">
        <v>2027</v>
      </c>
      <c r="K4" s="230"/>
      <c r="L4" s="228" t="s">
        <v>5</v>
      </c>
      <c r="M4" s="262"/>
      <c r="O4" s="130"/>
    </row>
    <row r="5" spans="1:15" ht="42.75" thickBot="1" x14ac:dyDescent="0.3">
      <c r="A5" s="231"/>
      <c r="B5" s="219"/>
      <c r="C5" s="220"/>
      <c r="D5" s="221"/>
      <c r="E5" s="221"/>
      <c r="F5" s="222"/>
      <c r="G5" s="222"/>
      <c r="H5" s="261" t="s">
        <v>6</v>
      </c>
      <c r="I5" s="261" t="s">
        <v>7</v>
      </c>
      <c r="J5" s="261" t="s">
        <v>8</v>
      </c>
      <c r="K5" s="261" t="s">
        <v>9</v>
      </c>
      <c r="L5" s="222"/>
      <c r="M5" s="262"/>
      <c r="O5" s="130"/>
    </row>
    <row r="6" spans="1:15" ht="16.5" thickBot="1" x14ac:dyDescent="0.3">
      <c r="A6" s="232" t="s">
        <v>10</v>
      </c>
      <c r="B6" s="223" t="s">
        <v>11</v>
      </c>
      <c r="C6" s="178" t="s">
        <v>12</v>
      </c>
      <c r="D6" s="172">
        <v>2324600</v>
      </c>
      <c r="E6" s="172">
        <v>3392980</v>
      </c>
      <c r="F6" s="172">
        <v>18222050</v>
      </c>
      <c r="G6" s="172">
        <v>19085835</v>
      </c>
      <c r="H6" s="172">
        <v>19085835</v>
      </c>
      <c r="I6" s="172"/>
      <c r="J6" s="172">
        <v>24267187</v>
      </c>
      <c r="K6" s="172"/>
      <c r="L6" s="259">
        <f t="shared" ref="L6:L17" si="0">SUM(C6:J6)</f>
        <v>86378487</v>
      </c>
      <c r="M6" s="263"/>
      <c r="N6" s="130"/>
      <c r="O6" s="130"/>
    </row>
    <row r="7" spans="1:15" ht="16.5" thickBot="1" x14ac:dyDescent="0.3">
      <c r="A7" s="233"/>
      <c r="B7" s="223" t="s">
        <v>13</v>
      </c>
      <c r="C7" s="178"/>
      <c r="D7" s="172"/>
      <c r="E7" s="172"/>
      <c r="F7" s="172"/>
      <c r="G7" s="172"/>
      <c r="H7" s="172"/>
      <c r="I7" s="172"/>
      <c r="J7" s="172"/>
      <c r="K7" s="172"/>
      <c r="L7" s="259">
        <f t="shared" si="0"/>
        <v>0</v>
      </c>
      <c r="M7" s="264"/>
      <c r="N7" s="131"/>
      <c r="O7" s="130"/>
    </row>
    <row r="8" spans="1:15" ht="16.5" thickBot="1" x14ac:dyDescent="0.3">
      <c r="A8" s="233"/>
      <c r="B8" s="223" t="s">
        <v>14</v>
      </c>
      <c r="C8" s="178"/>
      <c r="D8" s="172">
        <v>1390101</v>
      </c>
      <c r="E8" s="172">
        <v>1807132</v>
      </c>
      <c r="F8" s="172">
        <v>2502182</v>
      </c>
      <c r="G8" s="172">
        <v>2641192</v>
      </c>
      <c r="H8" s="172">
        <v>2641192</v>
      </c>
      <c r="I8" s="172"/>
      <c r="J8" s="172">
        <v>2919214</v>
      </c>
      <c r="K8" s="172"/>
      <c r="L8" s="259">
        <f t="shared" si="0"/>
        <v>13901013</v>
      </c>
      <c r="M8" s="263"/>
      <c r="N8" s="130"/>
      <c r="O8" s="130"/>
    </row>
    <row r="9" spans="1:15" ht="39" thickBot="1" x14ac:dyDescent="0.3">
      <c r="A9" s="234"/>
      <c r="B9" s="223" t="s">
        <v>15</v>
      </c>
      <c r="C9" s="178"/>
      <c r="D9" s="172"/>
      <c r="E9" s="172"/>
      <c r="F9" s="172"/>
      <c r="G9" s="172"/>
      <c r="H9" s="172"/>
      <c r="I9" s="172"/>
      <c r="J9" s="172"/>
      <c r="K9" s="172"/>
      <c r="L9" s="259">
        <f t="shared" si="0"/>
        <v>0</v>
      </c>
      <c r="M9" s="262"/>
      <c r="N9" s="130"/>
      <c r="O9" s="130"/>
    </row>
    <row r="10" spans="1:15" ht="16.5" thickBot="1" x14ac:dyDescent="0.3">
      <c r="A10" s="236" t="s">
        <v>16</v>
      </c>
      <c r="B10" s="237"/>
      <c r="C10" s="243" t="s">
        <v>17</v>
      </c>
      <c r="D10" s="244"/>
      <c r="E10" s="244"/>
      <c r="F10" s="244"/>
      <c r="G10" s="244"/>
      <c r="H10" s="244"/>
      <c r="I10" s="244"/>
      <c r="J10" s="244"/>
      <c r="K10" s="251"/>
      <c r="L10" s="250">
        <f t="shared" si="0"/>
        <v>0</v>
      </c>
      <c r="M10" s="265"/>
      <c r="N10" s="248"/>
    </row>
    <row r="11" spans="1:15" ht="21" customHeight="1" thickBot="1" x14ac:dyDescent="0.3">
      <c r="A11" s="235" t="s">
        <v>18</v>
      </c>
      <c r="B11" s="223" t="s">
        <v>19</v>
      </c>
      <c r="C11" s="178" t="s">
        <v>20</v>
      </c>
      <c r="D11" s="172"/>
      <c r="E11" s="172"/>
      <c r="F11" s="172"/>
      <c r="G11" s="172"/>
      <c r="H11" s="172"/>
      <c r="I11" s="172"/>
      <c r="J11" s="172"/>
      <c r="K11" s="249"/>
      <c r="L11" s="250">
        <f t="shared" si="0"/>
        <v>0</v>
      </c>
      <c r="M11" s="265"/>
    </row>
    <row r="12" spans="1:15" ht="16.5" thickBot="1" x14ac:dyDescent="0.3">
      <c r="A12" s="233"/>
      <c r="B12" s="223" t="s">
        <v>21</v>
      </c>
      <c r="C12" s="178"/>
      <c r="D12" s="172"/>
      <c r="E12" s="172"/>
      <c r="F12" s="172"/>
      <c r="G12" s="172"/>
      <c r="H12" s="172"/>
      <c r="I12" s="172"/>
      <c r="J12" s="172"/>
      <c r="K12" s="249"/>
      <c r="L12" s="250">
        <f t="shared" si="0"/>
        <v>0</v>
      </c>
      <c r="M12" s="266"/>
    </row>
    <row r="13" spans="1:15" ht="16.5" thickBot="1" x14ac:dyDescent="0.3">
      <c r="A13" s="233"/>
      <c r="B13" s="223" t="s">
        <v>22</v>
      </c>
      <c r="C13" s="178"/>
      <c r="D13" s="172"/>
      <c r="E13" s="172"/>
      <c r="F13" s="172"/>
      <c r="G13" s="172"/>
      <c r="H13" s="172"/>
      <c r="I13" s="172"/>
      <c r="J13" s="172"/>
      <c r="K13" s="249"/>
      <c r="L13" s="250">
        <f t="shared" si="0"/>
        <v>0</v>
      </c>
      <c r="M13" s="266"/>
    </row>
    <row r="14" spans="1:15" ht="39" thickBot="1" x14ac:dyDescent="0.3">
      <c r="A14" s="234"/>
      <c r="B14" s="223" t="s">
        <v>23</v>
      </c>
      <c r="C14" s="178"/>
      <c r="D14" s="172"/>
      <c r="E14" s="172"/>
      <c r="F14" s="172"/>
      <c r="G14" s="172"/>
      <c r="H14" s="172"/>
      <c r="I14" s="172"/>
      <c r="J14" s="172"/>
      <c r="K14" s="249"/>
      <c r="L14" s="250">
        <f t="shared" si="0"/>
        <v>0</v>
      </c>
      <c r="M14" s="265"/>
    </row>
    <row r="15" spans="1:15" ht="14.45" customHeight="1" thickBot="1" x14ac:dyDescent="0.3">
      <c r="A15" s="236" t="s">
        <v>24</v>
      </c>
      <c r="B15" s="240"/>
      <c r="C15" s="245"/>
      <c r="D15" s="254"/>
      <c r="E15" s="254"/>
      <c r="F15" s="254"/>
      <c r="G15" s="254"/>
      <c r="H15" s="254"/>
      <c r="I15" s="254"/>
      <c r="J15" s="254"/>
      <c r="K15" s="252"/>
      <c r="L15" s="250">
        <f t="shared" si="0"/>
        <v>0</v>
      </c>
      <c r="M15" s="265"/>
    </row>
    <row r="16" spans="1:15" ht="26.25" thickBot="1" x14ac:dyDescent="0.3">
      <c r="A16" s="235" t="s">
        <v>25</v>
      </c>
      <c r="B16" s="223" t="s">
        <v>26</v>
      </c>
      <c r="C16" s="178"/>
      <c r="D16" s="172"/>
      <c r="E16" s="172"/>
      <c r="F16" s="172"/>
      <c r="G16" s="172"/>
      <c r="H16" s="172"/>
      <c r="I16" s="172"/>
      <c r="J16" s="172"/>
      <c r="K16" s="249"/>
      <c r="L16" s="250">
        <f t="shared" si="0"/>
        <v>0</v>
      </c>
      <c r="M16" s="265"/>
    </row>
    <row r="17" spans="1:13" ht="13.9" customHeight="1" thickBot="1" x14ac:dyDescent="0.3">
      <c r="A17" s="235" t="s">
        <v>27</v>
      </c>
      <c r="B17" s="223" t="s">
        <v>28</v>
      </c>
      <c r="C17" s="178"/>
      <c r="D17" s="172"/>
      <c r="E17" s="172"/>
      <c r="F17" s="172"/>
      <c r="G17" s="172"/>
      <c r="H17" s="172"/>
      <c r="I17" s="172"/>
      <c r="J17" s="172"/>
      <c r="K17" s="249"/>
      <c r="L17" s="250">
        <f t="shared" si="0"/>
        <v>0</v>
      </c>
      <c r="M17" s="267"/>
    </row>
    <row r="18" spans="1:13" ht="16.5" thickBot="1" x14ac:dyDescent="0.3">
      <c r="A18" s="238" t="s">
        <v>29</v>
      </c>
      <c r="B18" s="239"/>
      <c r="C18" s="246" t="s">
        <v>30</v>
      </c>
      <c r="D18" s="247">
        <f>SUM(D6:D17)</f>
        <v>3714701</v>
      </c>
      <c r="E18" s="247">
        <f t="shared" ref="E18:J18" si="1">SUM(E6:E17)</f>
        <v>5200112</v>
      </c>
      <c r="F18" s="247">
        <f t="shared" si="1"/>
        <v>20724232</v>
      </c>
      <c r="G18" s="247">
        <f t="shared" si="1"/>
        <v>21727027</v>
      </c>
      <c r="H18" s="247">
        <f t="shared" si="1"/>
        <v>21727027</v>
      </c>
      <c r="I18" s="247"/>
      <c r="J18" s="247">
        <f t="shared" si="1"/>
        <v>27186401</v>
      </c>
      <c r="K18" s="253"/>
      <c r="L18" s="273">
        <f>SUM(C18:J18)</f>
        <v>100279500</v>
      </c>
      <c r="M18" s="268"/>
    </row>
    <row r="20" spans="1:13" x14ac:dyDescent="0.25">
      <c r="E20" s="248"/>
      <c r="F20" s="248"/>
      <c r="G20" s="248"/>
      <c r="H20" s="248"/>
      <c r="I20" s="248"/>
      <c r="J20" s="248"/>
      <c r="K20" s="248"/>
    </row>
    <row r="23" spans="1:13" ht="19.5" x14ac:dyDescent="0.3">
      <c r="D23" s="258"/>
      <c r="E23" s="258"/>
      <c r="F23" s="258"/>
      <c r="G23" s="258"/>
      <c r="H23" s="258"/>
      <c r="I23" s="258"/>
      <c r="J23" s="258"/>
    </row>
  </sheetData>
  <customSheetViews>
    <customSheetView guid="{D1BD168D-40B4-46AB-88B7-64C22520CFA0}" scale="115" showPageBreaks="1" printArea="1">
      <selection activeCell="A2" sqref="A2"/>
      <pageMargins left="0.7" right="0.7" top="0.75" bottom="0.75" header="0.3" footer="0.3"/>
      <pageSetup paperSize="9" orientation="portrait" horizontalDpi="300" verticalDpi="300" r:id="rId1"/>
    </customSheetView>
    <customSheetView guid="{AD504361-49F3-4986-BDBF-FB73E2299976}" printArea="1" topLeftCell="C1">
      <selection activeCell="M6" sqref="M6:M8"/>
      <pageMargins left="0.7" right="0.7" top="0.75" bottom="0.75" header="0.3" footer="0.3"/>
      <pageSetup paperSize="9" orientation="portrait" horizontalDpi="300" verticalDpi="300" r:id="rId2"/>
    </customSheetView>
    <customSheetView guid="{B426F9F8-EB1A-4D7B-9478-7E22D414CC12}" scale="115" showPageBreaks="1" printArea="1">
      <selection activeCell="F29" sqref="F29"/>
      <pageMargins left="0.7" right="0.7" top="0.75" bottom="0.75" header="0.3" footer="0.3"/>
      <pageSetup paperSize="9" orientation="portrait" horizontalDpi="300" verticalDpi="300" r:id="rId3"/>
    </customSheetView>
    <customSheetView guid="{56BC42A3-D967-4F27-BD5A-CB0B8CB7F657}" scale="115">
      <selection activeCell="F29" sqref="F29"/>
      <pageMargins left="0.7" right="0.7" top="0.75" bottom="0.75" header="0.3" footer="0.3"/>
      <pageSetup paperSize="9" orientation="portrait" horizontalDpi="300" verticalDpi="300" r:id="rId4"/>
    </customSheetView>
    <customSheetView guid="{2A6315F5-C9A2-43A7-B337-00FD30A3EB26}" scale="115" showPageBreaks="1" printArea="1">
      <selection activeCell="F29" sqref="F29"/>
      <pageMargins left="0.7" right="0.7" top="0.75" bottom="0.75" header="0.3" footer="0.3"/>
      <pageSetup paperSize="9" orientation="portrait" horizontalDpi="300" verticalDpi="300" r:id="rId5"/>
    </customSheetView>
    <customSheetView guid="{E07B67F4-8A17-4050-B9B8-81977BCB02E2}" scale="115" showPageBreaks="1" printArea="1">
      <selection activeCell="A21" sqref="A21"/>
      <pageMargins left="0.7" right="0.7" top="0.75" bottom="0.75" header="0.3" footer="0.3"/>
      <pageSetup paperSize="9" orientation="portrait" horizontalDpi="300" verticalDpi="300" r:id="rId6"/>
    </customSheetView>
    <customSheetView guid="{9CD5F6CE-0E1C-42DA-A598-93523B740CBC}" scale="115" showPageBreaks="1" printArea="1">
      <selection activeCell="F29" sqref="F29"/>
      <pageMargins left="0.7" right="0.7" top="0.75" bottom="0.75" header="0.3" footer="0.3"/>
      <pageSetup paperSize="9" orientation="portrait" horizontalDpi="300" verticalDpi="300" r:id="rId7"/>
    </customSheetView>
    <customSheetView guid="{72B67681-E295-44ED-80A6-F4B618B242B1}" scale="115">
      <selection activeCell="F29" sqref="F29"/>
    </customSheetView>
    <customSheetView guid="{32A281B9-28FB-4D0E-8C01-BFBADAC8C3C9}" scale="115" showPageBreaks="1" printArea="1">
      <selection activeCell="L11" sqref="L11"/>
      <pageMargins left="0.7" right="0.7" top="0.75" bottom="0.75" header="0.3" footer="0.3"/>
      <pageSetup paperSize="9" orientation="portrait" horizontalDpi="300" verticalDpi="300" r:id="rId8"/>
    </customSheetView>
    <customSheetView guid="{77799D3C-38E2-410A-80FA-AECD8E6AB89B}" scale="115">
      <selection activeCell="F29" sqref="F29"/>
      <pageMargins left="0.7" right="0.7" top="0.75" bottom="0.75" header="0.3" footer="0.3"/>
      <pageSetup paperSize="9" orientation="portrait" horizontalDpi="300" verticalDpi="300" r:id="rId9"/>
    </customSheetView>
    <customSheetView guid="{13EBDE9D-EC74-4522-9EED-363E735B4A78}" scale="90" showPageBreaks="1" showGridLines="0" printArea="1">
      <selection activeCell="J7" sqref="J7"/>
      <pageMargins left="0.7" right="0.7" top="0.75" bottom="0.75" header="0.3" footer="0.3"/>
      <pageSetup paperSize="9" orientation="portrait" horizontalDpi="300" verticalDpi="300" r:id="rId10"/>
    </customSheetView>
  </customSheetViews>
  <mergeCells count="1">
    <mergeCell ref="A3:L3"/>
  </mergeCells>
  <pageMargins left="0.7" right="0.7" top="0.75" bottom="0.75" header="0.3" footer="0.3"/>
  <pageSetup paperSize="9" orientation="portrait" horizontalDpi="300" verticalDpi="30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20"/>
  <sheetViews>
    <sheetView view="pageBreakPreview" zoomScale="110" zoomScaleNormal="100" zoomScaleSheetLayoutView="110" workbookViewId="0">
      <pane ySplit="2" topLeftCell="A3" activePane="bottomLeft" state="frozen"/>
      <selection pane="bottomLeft" activeCell="C3" sqref="C3:C12"/>
    </sheetView>
  </sheetViews>
  <sheetFormatPr defaultColWidth="21.42578125" defaultRowHeight="15" x14ac:dyDescent="0.25"/>
  <cols>
    <col min="1" max="1" width="12.5703125" style="2" customWidth="1"/>
    <col min="2" max="2" width="12.140625" style="2" customWidth="1"/>
    <col min="3" max="3" width="11" style="2" customWidth="1"/>
    <col min="4" max="4" width="14.28515625" style="2" bestFit="1" customWidth="1"/>
    <col min="5" max="5" width="41" style="2" customWidth="1"/>
    <col min="6" max="6" width="43.140625" style="2" customWidth="1"/>
    <col min="7" max="7" width="13.140625" style="2" customWidth="1"/>
    <col min="8" max="8" width="11.28515625" style="2" customWidth="1"/>
    <col min="9" max="9" width="30.7109375" style="2" customWidth="1"/>
    <col min="10" max="10" width="20.7109375" style="2" bestFit="1" customWidth="1"/>
    <col min="11" max="12" width="21" style="2" bestFit="1" customWidth="1"/>
    <col min="13" max="13" width="20" style="2" bestFit="1" customWidth="1"/>
    <col min="14" max="14" width="21" style="2" hidden="1" customWidth="1"/>
    <col min="15" max="15" width="21.42578125" style="2" hidden="1" customWidth="1"/>
    <col min="16" max="19" width="21.42578125" style="5"/>
    <col min="20" max="16384" width="21.42578125" style="2"/>
  </cols>
  <sheetData>
    <row r="1" spans="1:19" s="4" customFormat="1" ht="12" x14ac:dyDescent="0.25">
      <c r="A1" s="1">
        <v>2</v>
      </c>
      <c r="B1" s="1">
        <v>3</v>
      </c>
      <c r="C1" s="1">
        <v>6</v>
      </c>
      <c r="D1" s="1">
        <v>7</v>
      </c>
      <c r="E1" s="1">
        <v>8</v>
      </c>
      <c r="F1" s="1">
        <v>9</v>
      </c>
      <c r="G1" s="1">
        <v>10</v>
      </c>
      <c r="H1" s="1"/>
      <c r="I1" s="1">
        <v>11</v>
      </c>
      <c r="J1" s="1">
        <v>12</v>
      </c>
      <c r="K1" s="1">
        <v>13</v>
      </c>
      <c r="L1" s="1">
        <v>14</v>
      </c>
      <c r="M1" s="1">
        <v>15</v>
      </c>
      <c r="N1" s="1">
        <v>16</v>
      </c>
      <c r="O1" s="1">
        <v>17</v>
      </c>
    </row>
    <row r="2" spans="1:19" s="4" customFormat="1" ht="132" x14ac:dyDescent="0.25">
      <c r="A2" s="1" t="s">
        <v>468</v>
      </c>
      <c r="B2" s="1" t="s">
        <v>469</v>
      </c>
      <c r="C2" s="1" t="s">
        <v>470</v>
      </c>
      <c r="D2" s="1" t="s">
        <v>471</v>
      </c>
      <c r="E2" s="1" t="s">
        <v>472</v>
      </c>
      <c r="F2" s="1" t="s">
        <v>473</v>
      </c>
      <c r="G2" s="1" t="s">
        <v>474</v>
      </c>
      <c r="H2" s="1" t="s">
        <v>475</v>
      </c>
      <c r="I2" s="1" t="s">
        <v>476</v>
      </c>
      <c r="J2" s="1" t="s">
        <v>477</v>
      </c>
      <c r="K2" s="1" t="s">
        <v>478</v>
      </c>
      <c r="L2" s="1" t="s">
        <v>479</v>
      </c>
      <c r="M2" s="1" t="s">
        <v>480</v>
      </c>
      <c r="N2" s="1" t="s">
        <v>481</v>
      </c>
      <c r="O2" s="1" t="s">
        <v>482</v>
      </c>
    </row>
    <row r="3" spans="1:19" ht="120" x14ac:dyDescent="0.25">
      <c r="A3" s="451" t="s">
        <v>483</v>
      </c>
      <c r="B3" s="466" t="s">
        <v>484</v>
      </c>
      <c r="C3" s="462" t="s">
        <v>485</v>
      </c>
      <c r="D3" s="457" t="s">
        <v>486</v>
      </c>
      <c r="E3" s="22" t="s">
        <v>487</v>
      </c>
      <c r="F3" s="19" t="s">
        <v>488</v>
      </c>
      <c r="G3" s="78">
        <f>G5-G4</f>
        <v>27739403.999999989</v>
      </c>
      <c r="H3" s="78"/>
      <c r="I3" s="12" t="s">
        <v>489</v>
      </c>
      <c r="J3" s="30">
        <f>80/100*60/100*G5</f>
        <v>15130583.999999994</v>
      </c>
      <c r="K3" s="13" t="s">
        <v>490</v>
      </c>
      <c r="L3" s="88">
        <f>(224+93)/14*1.15*3</f>
        <v>78.117857142857133</v>
      </c>
      <c r="M3" s="464" t="s">
        <v>491</v>
      </c>
      <c r="N3" s="460"/>
      <c r="O3" s="461"/>
      <c r="P3" s="2"/>
      <c r="Q3" s="2"/>
      <c r="R3" s="2"/>
      <c r="S3" s="2"/>
    </row>
    <row r="4" spans="1:19" ht="48" x14ac:dyDescent="0.25">
      <c r="A4" s="452"/>
      <c r="B4" s="466"/>
      <c r="C4" s="463"/>
      <c r="D4" s="458"/>
      <c r="E4" s="10"/>
      <c r="F4" s="10" t="s">
        <v>492</v>
      </c>
      <c r="G4" s="78">
        <f>20/100*60/100*G5</f>
        <v>3782645.9999999986</v>
      </c>
      <c r="H4" s="78"/>
      <c r="I4" s="42"/>
      <c r="J4" s="85">
        <f>60/100*G5-J3-G4</f>
        <v>0</v>
      </c>
      <c r="K4" s="13"/>
      <c r="L4" s="38"/>
      <c r="M4" s="465"/>
      <c r="N4" s="460"/>
      <c r="O4" s="461"/>
      <c r="P4" s="2"/>
      <c r="Q4" s="2"/>
      <c r="R4" s="2"/>
      <c r="S4" s="2"/>
    </row>
    <row r="5" spans="1:19" ht="12" x14ac:dyDescent="0.25">
      <c r="A5" s="452"/>
      <c r="B5" s="466"/>
      <c r="C5" s="463"/>
      <c r="D5" s="458"/>
      <c r="E5" s="12"/>
      <c r="F5" s="41" t="s">
        <v>493</v>
      </c>
      <c r="G5" s="82">
        <f>60/100*'ОПНО_визия евро'!C4</f>
        <v>31522049.999999989</v>
      </c>
      <c r="H5" s="78"/>
      <c r="I5" s="11"/>
      <c r="J5" s="31"/>
      <c r="K5" s="13"/>
      <c r="L5" s="39"/>
      <c r="M5" s="465"/>
      <c r="N5" s="460"/>
      <c r="O5" s="461"/>
      <c r="P5" s="2"/>
      <c r="Q5" s="2"/>
      <c r="R5" s="2"/>
      <c r="S5" s="2"/>
    </row>
    <row r="6" spans="1:19" ht="72" x14ac:dyDescent="0.25">
      <c r="A6" s="452"/>
      <c r="B6" s="466"/>
      <c r="C6" s="463"/>
      <c r="D6" s="458"/>
      <c r="E6" s="24" t="s">
        <v>494</v>
      </c>
      <c r="F6" s="17" t="s">
        <v>495</v>
      </c>
      <c r="G6" s="82">
        <f>30/100*'ОПНО_визия евро'!C4</f>
        <v>15761024.999999994</v>
      </c>
      <c r="H6" s="82">
        <f>'ОПНО_визия евро'!B4-П3_Наука_Хоризонт!H11-П3_Наука_Хоризонт!H3</f>
        <v>7355144.9999999981</v>
      </c>
      <c r="I6" s="21" t="s">
        <v>496</v>
      </c>
      <c r="J6" s="32">
        <f>(210+359)/14*1.15*3+12*5</f>
        <v>200.21785714285716</v>
      </c>
      <c r="K6" s="13" t="s">
        <v>497</v>
      </c>
      <c r="L6" s="28">
        <f>(30+224)/14*1.15*3+12</f>
        <v>74.592857142857127</v>
      </c>
      <c r="M6" s="465"/>
      <c r="N6" s="460"/>
      <c r="O6" s="461"/>
      <c r="P6" s="2"/>
      <c r="Q6" s="2"/>
      <c r="R6" s="2"/>
      <c r="S6" s="2"/>
    </row>
    <row r="7" spans="1:19" ht="36" x14ac:dyDescent="0.25">
      <c r="A7" s="452"/>
      <c r="B7" s="466"/>
      <c r="C7" s="463"/>
      <c r="D7" s="458"/>
      <c r="E7" s="24" t="s">
        <v>498</v>
      </c>
      <c r="F7" s="19"/>
      <c r="G7" s="29"/>
      <c r="H7" s="29"/>
      <c r="I7" s="23" t="s">
        <v>499</v>
      </c>
      <c r="J7" s="33">
        <f>3*3+12</f>
        <v>21</v>
      </c>
      <c r="K7" s="13"/>
      <c r="L7" s="37"/>
      <c r="M7" s="465"/>
      <c r="N7" s="460"/>
      <c r="O7" s="461"/>
      <c r="P7" s="2"/>
      <c r="Q7" s="2"/>
      <c r="R7" s="2"/>
      <c r="S7" s="2"/>
    </row>
    <row r="8" spans="1:19" ht="36" x14ac:dyDescent="0.25">
      <c r="A8" s="452"/>
      <c r="B8" s="466"/>
      <c r="C8" s="463"/>
      <c r="D8" s="458"/>
      <c r="E8" s="19" t="s">
        <v>500</v>
      </c>
      <c r="F8" s="19"/>
      <c r="G8" s="29"/>
      <c r="H8" s="29"/>
      <c r="I8" s="21"/>
      <c r="J8" s="34"/>
      <c r="K8" s="13"/>
      <c r="L8" s="39"/>
      <c r="M8" s="465"/>
      <c r="N8" s="460"/>
      <c r="O8" s="461"/>
      <c r="P8" s="2"/>
      <c r="Q8" s="2"/>
      <c r="R8" s="2"/>
      <c r="S8" s="2"/>
    </row>
    <row r="9" spans="1:19" ht="60" x14ac:dyDescent="0.25">
      <c r="A9" s="452"/>
      <c r="B9" s="466"/>
      <c r="C9" s="463"/>
      <c r="D9" s="458"/>
      <c r="E9" s="19" t="s">
        <v>501</v>
      </c>
      <c r="F9" s="19"/>
      <c r="G9" s="29"/>
      <c r="H9" s="29"/>
      <c r="I9" s="21"/>
      <c r="J9" s="34"/>
      <c r="K9" s="13"/>
      <c r="L9" s="39"/>
      <c r="M9" s="465"/>
      <c r="N9" s="460"/>
      <c r="O9" s="461"/>
      <c r="P9" s="2"/>
      <c r="Q9" s="2"/>
      <c r="R9" s="2"/>
      <c r="S9" s="2"/>
    </row>
    <row r="10" spans="1:19" ht="60" x14ac:dyDescent="0.25">
      <c r="A10" s="452"/>
      <c r="B10" s="466"/>
      <c r="C10" s="463"/>
      <c r="D10" s="458"/>
      <c r="E10" s="20" t="s">
        <v>502</v>
      </c>
      <c r="F10" s="19"/>
      <c r="G10" s="29"/>
      <c r="H10" s="22"/>
      <c r="I10" s="21"/>
      <c r="J10" s="35"/>
      <c r="K10" s="13"/>
      <c r="L10" s="38"/>
      <c r="M10" s="465"/>
      <c r="N10" s="460"/>
      <c r="O10" s="461"/>
      <c r="P10" s="2"/>
      <c r="Q10" s="2"/>
      <c r="R10" s="2"/>
      <c r="S10" s="2"/>
    </row>
    <row r="11" spans="1:19" ht="48" x14ac:dyDescent="0.25">
      <c r="A11" s="452"/>
      <c r="B11" s="466"/>
      <c r="C11" s="463"/>
      <c r="D11" s="458"/>
      <c r="E11" s="24" t="s">
        <v>503</v>
      </c>
      <c r="F11" s="17" t="s">
        <v>504</v>
      </c>
      <c r="G11" s="82">
        <f>10/100*'ОПНО_визия евро'!C4</f>
        <v>5253674.9999999991</v>
      </c>
      <c r="H11" s="83">
        <f>60/100*G11</f>
        <v>3152204.9999999995</v>
      </c>
      <c r="I11" s="15" t="s">
        <v>505</v>
      </c>
      <c r="J11" s="35">
        <f>12*1</f>
        <v>12</v>
      </c>
      <c r="K11" s="13" t="s">
        <v>506</v>
      </c>
      <c r="L11" s="88">
        <f>50/100*L6</f>
        <v>37.296428571428564</v>
      </c>
      <c r="M11" s="465"/>
      <c r="N11" s="460"/>
      <c r="O11" s="461"/>
      <c r="P11" s="2"/>
      <c r="Q11" s="2"/>
      <c r="R11" s="2"/>
      <c r="S11" s="2"/>
    </row>
    <row r="12" spans="1:19" ht="24" x14ac:dyDescent="0.25">
      <c r="A12" s="452"/>
      <c r="B12" s="466"/>
      <c r="C12" s="463"/>
      <c r="D12" s="458"/>
      <c r="E12" s="19" t="s">
        <v>507</v>
      </c>
      <c r="F12" s="19"/>
      <c r="G12" s="29"/>
      <c r="H12" s="40"/>
      <c r="I12" s="16"/>
      <c r="J12" s="33"/>
      <c r="K12" s="13"/>
      <c r="L12" s="39"/>
      <c r="M12" s="465"/>
      <c r="N12" s="460"/>
    </row>
    <row r="13" spans="1:19" ht="72" x14ac:dyDescent="0.25">
      <c r="E13" s="19" t="s">
        <v>508</v>
      </c>
      <c r="F13" s="19"/>
      <c r="G13" s="29"/>
      <c r="H13" s="40"/>
      <c r="I13" s="21"/>
      <c r="J13" s="34"/>
      <c r="K13" s="13"/>
      <c r="L13" s="39"/>
    </row>
    <row r="14" spans="1:19" x14ac:dyDescent="0.25">
      <c r="E14" s="19" t="s">
        <v>509</v>
      </c>
      <c r="F14" s="19"/>
      <c r="G14" s="29"/>
      <c r="H14" s="40"/>
      <c r="I14" s="21"/>
      <c r="J14" s="34"/>
      <c r="K14" s="13"/>
      <c r="L14" s="39"/>
    </row>
    <row r="15" spans="1:19" x14ac:dyDescent="0.25">
      <c r="E15" s="18" t="s">
        <v>510</v>
      </c>
      <c r="F15" s="81"/>
      <c r="G15" s="39"/>
      <c r="H15" s="84"/>
      <c r="I15" s="25"/>
      <c r="J15" s="34"/>
      <c r="K15" s="13"/>
      <c r="L15" s="38"/>
    </row>
    <row r="16" spans="1:19" x14ac:dyDescent="0.25">
      <c r="E16" s="79"/>
      <c r="F16" s="20"/>
      <c r="G16" s="22"/>
      <c r="H16" s="80"/>
      <c r="I16" s="25"/>
      <c r="J16" s="32"/>
      <c r="K16" s="13"/>
      <c r="L16" s="39"/>
    </row>
    <row r="17" spans="6:7" x14ac:dyDescent="0.25">
      <c r="F17" s="90" t="s">
        <v>511</v>
      </c>
      <c r="G17" s="87">
        <f>G11+G6</f>
        <v>21014699.999999993</v>
      </c>
    </row>
    <row r="18" spans="6:7" ht="15.75" thickBot="1" x14ac:dyDescent="0.3"/>
    <row r="19" spans="6:7" x14ac:dyDescent="0.25">
      <c r="F19" s="110" t="s">
        <v>512</v>
      </c>
      <c r="G19" s="97">
        <v>3</v>
      </c>
    </row>
    <row r="20" spans="6:7" ht="15.75" thickBot="1" x14ac:dyDescent="0.3">
      <c r="F20" s="94" t="s">
        <v>513</v>
      </c>
      <c r="G20" s="98">
        <f>G17/70*100*1.95583/5000000</f>
        <v>11.743194485999995</v>
      </c>
    </row>
  </sheetData>
  <customSheetViews>
    <customSheetView guid="{D1BD168D-40B4-46AB-88B7-64C22520CFA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
    </customSheetView>
    <customSheetView guid="{AD504361-49F3-4986-BDBF-FB73E229997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2"/>
    </customSheetView>
    <customSheetView guid="{B426F9F8-EB1A-4D7B-9478-7E22D414CC1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3"/>
    </customSheetView>
    <customSheetView guid="{56BC42A3-D967-4F27-BD5A-CB0B8CB7F657}"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4"/>
    </customSheetView>
    <customSheetView guid="{2A6315F5-C9A2-43A7-B337-00FD30A3EB2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5"/>
    </customSheetView>
    <customSheetView guid="{E07B67F4-8A17-4050-B9B8-81977BCB02E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6"/>
    </customSheetView>
    <customSheetView guid="{9CD5F6CE-0E1C-42DA-A598-93523B740CB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7"/>
    </customSheetView>
    <customSheetView guid="{72B67681-E295-44ED-80A6-F4B618B242B1}" scale="110" showPageBreaks="1" state="hidden" view="pageBreakPreview">
      <pane ySplit="2" topLeftCell="A3" activePane="bottomLeft" state="frozen"/>
      <selection pane="bottomLeft" activeCell="C3" sqref="C3:C12"/>
    </customSheetView>
    <customSheetView guid="{32A281B9-28FB-4D0E-8C01-BFBADAC8C3C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8"/>
    </customSheetView>
    <customSheetView guid="{77799D3C-38E2-410A-80FA-AECD8E6AB89B}"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9"/>
    </customSheetView>
    <customSheetView guid="{13EBDE9D-EC74-4522-9EED-363E735B4A7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0"/>
    </customSheetView>
  </customSheetViews>
  <mergeCells count="7">
    <mergeCell ref="N3:N12"/>
    <mergeCell ref="O3:O11"/>
    <mergeCell ref="D3:D12"/>
    <mergeCell ref="C3:C12"/>
    <mergeCell ref="A3:A12"/>
    <mergeCell ref="M3:M12"/>
    <mergeCell ref="B3:B12"/>
  </mergeCells>
  <pageMargins left="0.7" right="0.7" top="0.75" bottom="0.75" header="0.3" footer="0.3"/>
  <pageSetup paperSize="9" scale="23"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80" zoomScaleNormal="80" workbookViewId="0">
      <selection activeCell="M17" sqref="M17"/>
    </sheetView>
  </sheetViews>
  <sheetFormatPr defaultColWidth="12.85546875" defaultRowHeight="15" x14ac:dyDescent="0.25"/>
  <cols>
    <col min="1" max="1" width="12.85546875" style="150" customWidth="1"/>
    <col min="2" max="2" width="27.28515625" style="150" customWidth="1"/>
    <col min="3" max="4" width="12.85546875" style="150"/>
    <col min="5" max="5" width="17.140625" style="150" customWidth="1"/>
    <col min="6" max="6" width="16.28515625" style="150" bestFit="1" customWidth="1"/>
    <col min="7" max="8" width="14.28515625" style="150" bestFit="1" customWidth="1"/>
    <col min="9" max="9" width="12.85546875" style="150"/>
    <col min="10" max="10" width="17.140625" style="150" bestFit="1" customWidth="1"/>
    <col min="11" max="11" width="16.5703125" style="150" bestFit="1" customWidth="1"/>
    <col min="12" max="12" width="15.42578125" style="183" bestFit="1" customWidth="1"/>
    <col min="13" max="13" width="17.140625" style="129" customWidth="1"/>
    <col min="14" max="15" width="12.85546875" style="129"/>
    <col min="16" max="16" width="13" style="129" bestFit="1" customWidth="1"/>
    <col min="17" max="17" width="16.5703125" style="129" bestFit="1" customWidth="1"/>
    <col min="18" max="18" width="14.28515625" style="129" bestFit="1" customWidth="1"/>
    <col min="19" max="19" width="18.85546875" style="150" customWidth="1"/>
    <col min="20" max="16384" width="12.85546875" style="150"/>
  </cols>
  <sheetData>
    <row r="1" spans="1:22" ht="15.75" customHeight="1" thickBot="1" x14ac:dyDescent="0.3">
      <c r="L1" s="162"/>
    </row>
    <row r="2" spans="1:22" ht="31.5" customHeight="1" thickBot="1" x14ac:dyDescent="0.3">
      <c r="A2" s="386" t="s">
        <v>31</v>
      </c>
      <c r="B2" s="387"/>
      <c r="C2" s="387"/>
      <c r="D2" s="387"/>
      <c r="E2" s="387"/>
      <c r="F2" s="387"/>
      <c r="G2" s="387"/>
      <c r="H2" s="387"/>
      <c r="I2" s="387"/>
      <c r="J2" s="387"/>
      <c r="K2" s="388"/>
      <c r="L2" s="162"/>
      <c r="M2" s="384"/>
      <c r="N2" s="384"/>
      <c r="O2" s="384"/>
      <c r="P2" s="384"/>
      <c r="Q2" s="384"/>
      <c r="R2" s="385"/>
    </row>
    <row r="3" spans="1:22" ht="60.75" customHeight="1" thickBot="1" x14ac:dyDescent="0.3">
      <c r="A3" s="399" t="s">
        <v>32</v>
      </c>
      <c r="B3" s="389" t="s">
        <v>33</v>
      </c>
      <c r="C3" s="389" t="s">
        <v>34</v>
      </c>
      <c r="D3" s="389" t="s">
        <v>35</v>
      </c>
      <c r="E3" s="389" t="s">
        <v>36</v>
      </c>
      <c r="F3" s="389" t="s">
        <v>37</v>
      </c>
      <c r="G3" s="389" t="s">
        <v>38</v>
      </c>
      <c r="H3" s="393" t="s">
        <v>39</v>
      </c>
      <c r="I3" s="394"/>
      <c r="J3" s="391" t="s">
        <v>40</v>
      </c>
      <c r="K3" s="389" t="s">
        <v>41</v>
      </c>
      <c r="L3" s="162"/>
      <c r="M3" s="386" t="s">
        <v>42</v>
      </c>
      <c r="N3" s="387"/>
      <c r="O3" s="387"/>
      <c r="P3" s="387"/>
      <c r="Q3" s="388"/>
      <c r="R3" s="274"/>
    </row>
    <row r="4" spans="1:22" ht="54" customHeight="1" thickBot="1" x14ac:dyDescent="0.3">
      <c r="A4" s="400"/>
      <c r="B4" s="390"/>
      <c r="C4" s="390"/>
      <c r="D4" s="390"/>
      <c r="E4" s="390"/>
      <c r="F4" s="390"/>
      <c r="G4" s="390"/>
      <c r="H4" s="163" t="s">
        <v>43</v>
      </c>
      <c r="I4" s="163" t="s">
        <v>44</v>
      </c>
      <c r="J4" s="392"/>
      <c r="K4" s="390"/>
      <c r="L4" s="162"/>
      <c r="M4" s="204" t="s">
        <v>45</v>
      </c>
      <c r="N4" s="205" t="s">
        <v>46</v>
      </c>
      <c r="O4" s="205" t="s">
        <v>47</v>
      </c>
      <c r="P4" s="205" t="s">
        <v>48</v>
      </c>
      <c r="Q4" s="205" t="s">
        <v>49</v>
      </c>
      <c r="R4" s="277"/>
    </row>
    <row r="5" spans="1:22" ht="60.75" thickBot="1" x14ac:dyDescent="0.3">
      <c r="A5" s="401"/>
      <c r="B5" s="164"/>
      <c r="C5" s="165"/>
      <c r="D5" s="164"/>
      <c r="E5" s="164"/>
      <c r="F5" s="164" t="s">
        <v>50</v>
      </c>
      <c r="G5" s="164" t="s">
        <v>51</v>
      </c>
      <c r="H5" s="164" t="s">
        <v>52</v>
      </c>
      <c r="I5" s="164" t="s">
        <v>53</v>
      </c>
      <c r="J5" s="164" t="s">
        <v>54</v>
      </c>
      <c r="K5" s="164" t="s">
        <v>55</v>
      </c>
      <c r="L5" s="162"/>
      <c r="M5" s="166" t="s">
        <v>56</v>
      </c>
      <c r="N5" s="166" t="s">
        <v>57</v>
      </c>
      <c r="O5" s="167" t="s">
        <v>58</v>
      </c>
      <c r="P5" s="168">
        <v>140</v>
      </c>
      <c r="Q5" s="169">
        <v>1781409</v>
      </c>
      <c r="R5" s="278">
        <f>+Q5+Q6</f>
        <v>14576584</v>
      </c>
      <c r="S5" s="272"/>
    </row>
    <row r="6" spans="1:22" ht="15.75" thickBot="1" x14ac:dyDescent="0.3">
      <c r="A6" s="170"/>
      <c r="B6" s="164"/>
      <c r="C6" s="165"/>
      <c r="D6" s="164"/>
      <c r="E6" s="164"/>
      <c r="F6" s="164"/>
      <c r="G6" s="164"/>
      <c r="H6" s="164"/>
      <c r="I6" s="164"/>
      <c r="J6" s="164"/>
      <c r="K6" s="164"/>
      <c r="L6" s="162"/>
      <c r="M6" s="171"/>
      <c r="N6" s="171"/>
      <c r="O6" s="167" t="s">
        <v>59</v>
      </c>
      <c r="P6" s="168">
        <v>140</v>
      </c>
      <c r="Q6" s="169">
        <v>12795175</v>
      </c>
      <c r="R6" s="278"/>
    </row>
    <row r="7" spans="1:22" ht="47.25" customHeight="1" thickBot="1" x14ac:dyDescent="0.3">
      <c r="A7" s="269" t="s">
        <v>60</v>
      </c>
      <c r="B7" s="269" t="s">
        <v>61</v>
      </c>
      <c r="C7" s="256" t="s">
        <v>62</v>
      </c>
      <c r="D7" s="164" t="s">
        <v>63</v>
      </c>
      <c r="E7" s="260" t="s">
        <v>64</v>
      </c>
      <c r="F7" s="270">
        <v>13901013</v>
      </c>
      <c r="G7" s="172">
        <f>+H7+I7</f>
        <v>5957577</v>
      </c>
      <c r="H7" s="172">
        <v>5957577</v>
      </c>
      <c r="I7" s="173"/>
      <c r="J7" s="172">
        <f>+F7+G7</f>
        <v>19858590</v>
      </c>
      <c r="K7" s="174">
        <f>+F7/J7</f>
        <v>0.7</v>
      </c>
      <c r="L7" s="162"/>
      <c r="M7" s="171"/>
      <c r="N7" s="171"/>
      <c r="O7" s="167" t="s">
        <v>65</v>
      </c>
      <c r="P7" s="168">
        <v>141</v>
      </c>
      <c r="Q7" s="169">
        <v>6966499</v>
      </c>
      <c r="R7" s="278">
        <f>+Q7+Q8</f>
        <v>49263101</v>
      </c>
      <c r="S7" s="175"/>
    </row>
    <row r="8" spans="1:22" ht="56.25" customHeight="1" thickBot="1" x14ac:dyDescent="0.3">
      <c r="A8" s="269" t="s">
        <v>66</v>
      </c>
      <c r="B8" s="269" t="s">
        <v>67</v>
      </c>
      <c r="C8" s="256" t="s">
        <v>68</v>
      </c>
      <c r="D8" s="164" t="s">
        <v>69</v>
      </c>
      <c r="E8" s="260" t="s">
        <v>70</v>
      </c>
      <c r="F8" s="270">
        <v>86378487</v>
      </c>
      <c r="G8" s="172">
        <f>+H8+I8</f>
        <v>15243262</v>
      </c>
      <c r="H8" s="172">
        <v>15243262</v>
      </c>
      <c r="I8" s="173"/>
      <c r="J8" s="172">
        <f>+F8+G8</f>
        <v>101621749</v>
      </c>
      <c r="K8" s="174">
        <f>+F8/J8</f>
        <v>0.85000000344414461</v>
      </c>
      <c r="L8" s="162"/>
      <c r="M8" s="171"/>
      <c r="N8" s="171"/>
      <c r="O8" s="167" t="s">
        <v>71</v>
      </c>
      <c r="P8" s="168">
        <v>141</v>
      </c>
      <c r="Q8" s="169">
        <v>42296602</v>
      </c>
      <c r="R8" s="275"/>
      <c r="S8" s="271"/>
    </row>
    <row r="9" spans="1:22" ht="32.25" customHeight="1" thickBot="1" x14ac:dyDescent="0.3">
      <c r="A9" s="402" t="s">
        <v>72</v>
      </c>
      <c r="B9" s="403"/>
      <c r="C9" s="176"/>
      <c r="D9" s="177"/>
      <c r="E9" s="260" t="s">
        <v>73</v>
      </c>
      <c r="F9" s="178"/>
      <c r="G9" s="179">
        <f t="shared" ref="G9:G16" si="0">+H9+I9</f>
        <v>0</v>
      </c>
      <c r="H9" s="178"/>
      <c r="I9" s="164"/>
      <c r="J9" s="172">
        <f t="shared" ref="J9:J16" si="1">+F9+G9</f>
        <v>0</v>
      </c>
      <c r="K9" s="174">
        <v>0</v>
      </c>
      <c r="L9" s="162"/>
      <c r="M9" s="171"/>
      <c r="N9" s="171"/>
      <c r="O9" s="167" t="s">
        <v>74</v>
      </c>
      <c r="P9" s="168">
        <v>142</v>
      </c>
      <c r="Q9" s="169">
        <v>2361757</v>
      </c>
      <c r="R9" s="278">
        <f>+Q9+Q10</f>
        <v>16700993</v>
      </c>
      <c r="S9" s="175"/>
      <c r="T9" s="175"/>
      <c r="U9" s="175"/>
      <c r="V9" s="175"/>
    </row>
    <row r="10" spans="1:22" ht="32.25" customHeight="1" thickBot="1" x14ac:dyDescent="0.3">
      <c r="A10" s="404"/>
      <c r="B10" s="405"/>
      <c r="C10" s="176"/>
      <c r="D10" s="177"/>
      <c r="E10" s="260" t="s">
        <v>75</v>
      </c>
      <c r="F10" s="172">
        <f>+F7</f>
        <v>13901013</v>
      </c>
      <c r="G10" s="172">
        <f>+H10+I10</f>
        <v>5957577</v>
      </c>
      <c r="H10" s="172">
        <f>+H7</f>
        <v>5957577</v>
      </c>
      <c r="I10" s="164"/>
      <c r="J10" s="172">
        <f t="shared" si="1"/>
        <v>19858590</v>
      </c>
      <c r="K10" s="174">
        <f t="shared" ref="K10:K11" si="2">+F10/J10</f>
        <v>0.7</v>
      </c>
      <c r="L10" s="162"/>
      <c r="M10" s="171"/>
      <c r="N10" s="171"/>
      <c r="O10" s="167" t="s">
        <v>76</v>
      </c>
      <c r="P10" s="168">
        <v>142</v>
      </c>
      <c r="Q10" s="169">
        <v>14339236</v>
      </c>
      <c r="R10" s="279"/>
      <c r="S10" s="142"/>
      <c r="T10" s="162"/>
      <c r="U10" s="175"/>
      <c r="V10" s="175"/>
    </row>
    <row r="11" spans="1:22" ht="32.25" customHeight="1" thickBot="1" x14ac:dyDescent="0.3">
      <c r="A11" s="404"/>
      <c r="B11" s="405"/>
      <c r="C11" s="176"/>
      <c r="D11" s="177"/>
      <c r="E11" s="260" t="s">
        <v>77</v>
      </c>
      <c r="F11" s="172">
        <f>+F8</f>
        <v>86378487</v>
      </c>
      <c r="G11" s="172">
        <f>+H11+I11</f>
        <v>15243262</v>
      </c>
      <c r="H11" s="172">
        <f>+H8</f>
        <v>15243262</v>
      </c>
      <c r="I11" s="173"/>
      <c r="J11" s="172">
        <f t="shared" si="1"/>
        <v>101621749</v>
      </c>
      <c r="K11" s="180">
        <f t="shared" si="2"/>
        <v>0.85000000344414461</v>
      </c>
      <c r="L11" s="162"/>
      <c r="M11" s="171"/>
      <c r="N11" s="171"/>
      <c r="O11" s="167" t="s">
        <v>78</v>
      </c>
      <c r="P11" s="168">
        <v>143</v>
      </c>
      <c r="Q11" s="169">
        <v>2791348</v>
      </c>
      <c r="R11" s="280">
        <f>+Q11+Q12</f>
        <v>19738822</v>
      </c>
      <c r="S11" s="142"/>
      <c r="T11" s="162"/>
      <c r="U11" s="175"/>
      <c r="V11" s="175"/>
    </row>
    <row r="12" spans="1:22" ht="15.75" thickBot="1" x14ac:dyDescent="0.3">
      <c r="A12" s="406"/>
      <c r="B12" s="407"/>
      <c r="C12" s="176"/>
      <c r="D12" s="177"/>
      <c r="E12" s="260" t="s">
        <v>79</v>
      </c>
      <c r="F12" s="178"/>
      <c r="G12" s="179">
        <f t="shared" si="0"/>
        <v>0</v>
      </c>
      <c r="H12" s="178"/>
      <c r="I12" s="164"/>
      <c r="J12" s="172">
        <f t="shared" si="1"/>
        <v>0</v>
      </c>
      <c r="K12" s="180"/>
      <c r="L12" s="162"/>
      <c r="M12" s="181"/>
      <c r="N12" s="181"/>
      <c r="O12" s="167" t="s">
        <v>80</v>
      </c>
      <c r="P12" s="168">
        <v>143</v>
      </c>
      <c r="Q12" s="169">
        <v>16947474</v>
      </c>
      <c r="R12" s="281"/>
      <c r="S12" s="142"/>
      <c r="T12" s="162"/>
      <c r="U12" s="175"/>
      <c r="V12" s="175"/>
    </row>
    <row r="13" spans="1:22" ht="32.25" customHeight="1" thickBot="1" x14ac:dyDescent="0.3">
      <c r="A13" s="408" t="s">
        <v>81</v>
      </c>
      <c r="B13" s="409"/>
      <c r="C13" s="176"/>
      <c r="D13" s="177"/>
      <c r="E13" s="257" t="s">
        <v>82</v>
      </c>
      <c r="F13" s="172"/>
      <c r="G13" s="172">
        <f t="shared" si="0"/>
        <v>0</v>
      </c>
      <c r="H13" s="172"/>
      <c r="I13" s="164"/>
      <c r="J13" s="172">
        <f t="shared" si="1"/>
        <v>0</v>
      </c>
      <c r="K13" s="180"/>
      <c r="L13" s="162"/>
      <c r="Q13" s="160">
        <f>SUM(Q5:Q12)</f>
        <v>100279500</v>
      </c>
      <c r="R13" s="282">
        <f>+Q5+Q7+Q9+Q11</f>
        <v>13901013</v>
      </c>
      <c r="S13" s="142"/>
      <c r="T13" s="162"/>
      <c r="U13" s="175"/>
      <c r="V13" s="175"/>
    </row>
    <row r="14" spans="1:22" ht="32.25" customHeight="1" thickBot="1" x14ac:dyDescent="0.3">
      <c r="A14" s="404"/>
      <c r="B14" s="405"/>
      <c r="C14" s="176"/>
      <c r="D14" s="177"/>
      <c r="E14" s="257" t="s">
        <v>83</v>
      </c>
      <c r="F14" s="172"/>
      <c r="G14" s="172">
        <f t="shared" si="0"/>
        <v>0</v>
      </c>
      <c r="H14" s="172"/>
      <c r="I14" s="164"/>
      <c r="J14" s="172">
        <f>+F14+G14</f>
        <v>0</v>
      </c>
      <c r="K14" s="180"/>
      <c r="L14" s="162"/>
      <c r="O14" s="161"/>
      <c r="Q14" s="182"/>
      <c r="R14" s="282">
        <f>+Q6+Q8+Q10+Q12</f>
        <v>86378487</v>
      </c>
      <c r="S14" s="162"/>
      <c r="T14" s="283"/>
      <c r="U14" s="175"/>
      <c r="V14" s="175"/>
    </row>
    <row r="15" spans="1:22" ht="32.25" customHeight="1" thickBot="1" x14ac:dyDescent="0.3">
      <c r="A15" s="404"/>
      <c r="B15" s="405"/>
      <c r="C15" s="176"/>
      <c r="D15" s="177"/>
      <c r="E15" s="257" t="s">
        <v>84</v>
      </c>
      <c r="F15" s="172"/>
      <c r="G15" s="172">
        <f t="shared" si="0"/>
        <v>0</v>
      </c>
      <c r="H15" s="172"/>
      <c r="I15" s="173"/>
      <c r="J15" s="172">
        <f>+F15+G15</f>
        <v>0</v>
      </c>
      <c r="K15" s="180"/>
      <c r="L15" s="162"/>
      <c r="M15" s="139"/>
      <c r="N15" s="150"/>
      <c r="O15" s="150"/>
      <c r="P15" s="150"/>
      <c r="Q15" s="183"/>
      <c r="R15" s="276"/>
    </row>
    <row r="16" spans="1:22" ht="68.25" thickBot="1" x14ac:dyDescent="0.3">
      <c r="A16" s="406"/>
      <c r="B16" s="407"/>
      <c r="C16" s="176"/>
      <c r="D16" s="177"/>
      <c r="E16" s="257" t="s">
        <v>85</v>
      </c>
      <c r="F16" s="164"/>
      <c r="G16" s="179">
        <f t="shared" si="0"/>
        <v>0</v>
      </c>
      <c r="H16" s="178"/>
      <c r="I16" s="164"/>
      <c r="J16" s="179">
        <f t="shared" si="1"/>
        <v>0</v>
      </c>
      <c r="K16" s="180"/>
      <c r="L16" s="162"/>
      <c r="M16" s="139"/>
      <c r="N16" s="137"/>
      <c r="O16" s="143"/>
      <c r="P16" s="133"/>
      <c r="Q16" s="183"/>
      <c r="R16" s="150"/>
    </row>
    <row r="17" spans="1:18" ht="15.75" thickBot="1" x14ac:dyDescent="0.3">
      <c r="A17" s="397" t="s">
        <v>86</v>
      </c>
      <c r="B17" s="398"/>
      <c r="C17" s="176"/>
      <c r="D17" s="177" t="s">
        <v>87</v>
      </c>
      <c r="E17" s="255"/>
      <c r="F17" s="164"/>
      <c r="G17" s="178"/>
      <c r="H17" s="178"/>
      <c r="I17" s="164"/>
      <c r="J17" s="178"/>
      <c r="K17" s="174"/>
      <c r="M17" s="139"/>
      <c r="N17" s="137"/>
      <c r="O17" s="137"/>
      <c r="P17" s="133"/>
      <c r="Q17" s="183"/>
      <c r="R17" s="150"/>
    </row>
    <row r="18" spans="1:18" ht="15.75" thickBot="1" x14ac:dyDescent="0.3">
      <c r="A18" s="395" t="s">
        <v>88</v>
      </c>
      <c r="B18" s="396"/>
      <c r="C18" s="176"/>
      <c r="D18" s="184"/>
      <c r="E18" s="255"/>
      <c r="F18" s="185">
        <f>+F10+F11</f>
        <v>100279500</v>
      </c>
      <c r="G18" s="185">
        <f t="shared" ref="G18:J18" si="3">+G10+G11</f>
        <v>21200839</v>
      </c>
      <c r="H18" s="185">
        <f t="shared" si="3"/>
        <v>21200839</v>
      </c>
      <c r="I18" s="185"/>
      <c r="J18" s="185">
        <f t="shared" si="3"/>
        <v>121480339</v>
      </c>
      <c r="K18" s="186">
        <f>+F18/J18</f>
        <v>0.82547925718251414</v>
      </c>
      <c r="L18" s="187">
        <f>+J18*1.95583</f>
        <v>237594891.42636999</v>
      </c>
      <c r="M18" s="139"/>
      <c r="N18" s="137"/>
      <c r="O18" s="137"/>
      <c r="P18" s="133"/>
      <c r="Q18" s="150"/>
      <c r="R18" s="150"/>
    </row>
    <row r="19" spans="1:18" x14ac:dyDescent="0.25">
      <c r="N19" s="137"/>
      <c r="O19" s="137"/>
      <c r="P19" s="133"/>
      <c r="Q19" s="150"/>
      <c r="R19" s="150"/>
    </row>
    <row r="20" spans="1:18" x14ac:dyDescent="0.25">
      <c r="N20" s="139"/>
      <c r="O20" s="139"/>
      <c r="P20" s="134"/>
      <c r="Q20" s="150"/>
      <c r="R20" s="150"/>
    </row>
    <row r="21" spans="1:18" x14ac:dyDescent="0.25">
      <c r="E21" s="188"/>
      <c r="F21" s="188"/>
      <c r="G21" s="188"/>
      <c r="I21" s="189"/>
      <c r="J21" s="190"/>
      <c r="K21" s="175"/>
      <c r="N21" s="150"/>
      <c r="O21" s="150"/>
      <c r="P21" s="150"/>
      <c r="Q21" s="150"/>
      <c r="R21" s="150"/>
    </row>
    <row r="22" spans="1:18" x14ac:dyDescent="0.25">
      <c r="E22" s="191"/>
      <c r="F22" s="135"/>
      <c r="G22" s="136"/>
      <c r="I22" s="189"/>
      <c r="J22" s="192"/>
      <c r="K22" s="175"/>
      <c r="N22" s="150"/>
      <c r="O22" s="150"/>
      <c r="P22" s="150"/>
      <c r="Q22" s="150"/>
      <c r="R22" s="150"/>
    </row>
    <row r="23" spans="1:18" x14ac:dyDescent="0.25">
      <c r="F23" s="138"/>
      <c r="G23" s="138"/>
      <c r="H23" s="175"/>
      <c r="I23" s="193"/>
      <c r="J23" s="194"/>
      <c r="K23" s="175"/>
      <c r="N23" s="150"/>
      <c r="O23" s="150"/>
      <c r="P23" s="150"/>
      <c r="Q23" s="150"/>
      <c r="R23" s="150"/>
    </row>
    <row r="24" spans="1:18" ht="15.75" customHeight="1" x14ac:dyDescent="0.25">
      <c r="F24" s="137"/>
      <c r="G24" s="137"/>
      <c r="H24" s="175"/>
      <c r="I24" s="175"/>
      <c r="J24" s="195"/>
      <c r="K24" s="175"/>
      <c r="N24" s="150"/>
      <c r="O24" s="150"/>
      <c r="P24" s="150"/>
      <c r="Q24" s="150"/>
      <c r="R24" s="150"/>
    </row>
    <row r="25" spans="1:18" x14ac:dyDescent="0.25">
      <c r="F25" s="139"/>
      <c r="G25" s="139"/>
      <c r="H25" s="175"/>
      <c r="I25" s="175"/>
      <c r="J25" s="195"/>
      <c r="K25" s="175"/>
      <c r="N25" s="150"/>
      <c r="O25" s="150"/>
      <c r="P25" s="150"/>
      <c r="Q25" s="150"/>
      <c r="R25" s="150"/>
    </row>
    <row r="26" spans="1:18" x14ac:dyDescent="0.25">
      <c r="F26" s="137"/>
      <c r="G26" s="137"/>
      <c r="H26" s="196"/>
      <c r="I26" s="196"/>
      <c r="J26" s="195"/>
      <c r="K26" s="175"/>
      <c r="N26" s="150"/>
      <c r="O26" s="150"/>
      <c r="P26" s="150"/>
      <c r="Q26" s="150"/>
      <c r="R26" s="150"/>
    </row>
    <row r="27" spans="1:18" x14ac:dyDescent="0.25">
      <c r="F27" s="139"/>
      <c r="G27" s="139"/>
      <c r="H27" s="197"/>
      <c r="I27" s="198"/>
      <c r="J27" s="189"/>
      <c r="K27" s="175"/>
      <c r="N27" s="150"/>
      <c r="O27" s="150"/>
      <c r="P27" s="150"/>
      <c r="Q27" s="150"/>
      <c r="R27" s="150"/>
    </row>
    <row r="28" spans="1:18" x14ac:dyDescent="0.25">
      <c r="F28" s="183"/>
      <c r="G28" s="198"/>
      <c r="H28" s="197"/>
      <c r="I28" s="198"/>
      <c r="J28" s="189"/>
      <c r="K28" s="175"/>
      <c r="N28" s="139"/>
      <c r="O28" s="139"/>
    </row>
    <row r="29" spans="1:18" x14ac:dyDescent="0.25">
      <c r="F29" s="183"/>
      <c r="G29" s="198"/>
      <c r="H29" s="199"/>
      <c r="I29" s="198"/>
      <c r="J29" s="189"/>
      <c r="K29" s="175"/>
    </row>
    <row r="30" spans="1:18" x14ac:dyDescent="0.25">
      <c r="F30" s="183"/>
      <c r="G30" s="198"/>
      <c r="H30" s="197"/>
      <c r="I30" s="198"/>
      <c r="J30" s="200"/>
      <c r="K30" s="175"/>
    </row>
    <row r="31" spans="1:18" x14ac:dyDescent="0.25">
      <c r="F31" s="183"/>
      <c r="G31" s="175"/>
      <c r="H31" s="175"/>
      <c r="I31" s="175"/>
      <c r="J31" s="175"/>
      <c r="K31" s="175"/>
    </row>
    <row r="32" spans="1:18" x14ac:dyDescent="0.25">
      <c r="F32" s="183"/>
      <c r="G32" s="175"/>
      <c r="H32" s="175"/>
      <c r="I32" s="175"/>
      <c r="J32" s="175"/>
    </row>
    <row r="33" spans="6:10" x14ac:dyDescent="0.25">
      <c r="F33" s="175"/>
      <c r="G33" s="175"/>
      <c r="H33" s="175"/>
      <c r="I33" s="175"/>
      <c r="J33" s="175"/>
    </row>
    <row r="34" spans="6:10" x14ac:dyDescent="0.25">
      <c r="F34" s="175"/>
      <c r="G34" s="201"/>
      <c r="H34" s="196"/>
      <c r="I34" s="196"/>
      <c r="J34" s="175"/>
    </row>
    <row r="35" spans="6:10" x14ac:dyDescent="0.25">
      <c r="F35" s="175"/>
      <c r="G35" s="198"/>
      <c r="H35" s="202"/>
      <c r="I35" s="202"/>
      <c r="J35" s="175"/>
    </row>
    <row r="36" spans="6:10" x14ac:dyDescent="0.25">
      <c r="F36" s="175"/>
      <c r="G36" s="198"/>
      <c r="H36" s="202"/>
      <c r="I36" s="202"/>
      <c r="J36" s="175"/>
    </row>
    <row r="37" spans="6:10" x14ac:dyDescent="0.25">
      <c r="F37" s="175"/>
      <c r="G37" s="198"/>
      <c r="H37" s="202"/>
      <c r="I37" s="198"/>
      <c r="J37" s="175"/>
    </row>
    <row r="38" spans="6:10" x14ac:dyDescent="0.25">
      <c r="F38" s="175"/>
      <c r="G38" s="198"/>
      <c r="H38" s="203"/>
      <c r="I38" s="202"/>
      <c r="J38" s="175"/>
    </row>
    <row r="39" spans="6:10" x14ac:dyDescent="0.25">
      <c r="F39" s="175"/>
      <c r="G39" s="175"/>
      <c r="H39" s="175"/>
      <c r="I39" s="175"/>
      <c r="J39" s="175"/>
    </row>
    <row r="40" spans="6:10" x14ac:dyDescent="0.25">
      <c r="F40" s="175"/>
      <c r="G40" s="175"/>
      <c r="H40" s="193"/>
      <c r="I40" s="193"/>
      <c r="J40" s="175"/>
    </row>
    <row r="41" spans="6:10" x14ac:dyDescent="0.25">
      <c r="F41" s="175"/>
      <c r="G41" s="175"/>
      <c r="H41" s="175"/>
      <c r="I41" s="175"/>
      <c r="J41" s="175"/>
    </row>
    <row r="42" spans="6:10" x14ac:dyDescent="0.25">
      <c r="F42" s="175"/>
      <c r="G42" s="175"/>
      <c r="H42" s="175"/>
      <c r="I42" s="175"/>
      <c r="J42" s="175"/>
    </row>
    <row r="43" spans="6:10" x14ac:dyDescent="0.25">
      <c r="F43" s="175"/>
      <c r="G43" s="175"/>
      <c r="H43" s="175"/>
      <c r="I43" s="175"/>
      <c r="J43" s="175"/>
    </row>
    <row r="44" spans="6:10" x14ac:dyDescent="0.25">
      <c r="F44" s="175"/>
      <c r="G44" s="175"/>
      <c r="H44" s="175"/>
      <c r="I44" s="175"/>
      <c r="J44" s="175"/>
    </row>
  </sheetData>
  <customSheetViews>
    <customSheetView guid="{D1BD168D-40B4-46AB-88B7-64C22520CFA0}" scale="85" showPageBreaks="1" printArea="1">
      <selection activeCell="F19" sqref="F19"/>
      <pageMargins left="0.7" right="0.7" top="0.75" bottom="0.75" header="0.3" footer="0.3"/>
      <pageSetup paperSize="9" orientation="portrait" horizontalDpi="300" verticalDpi="300" r:id="rId1"/>
    </customSheetView>
    <customSheetView guid="{AD504361-49F3-4986-BDBF-FB73E2299976}" topLeftCell="A4">
      <selection activeCell="M16" sqref="M16:Q16"/>
      <pageMargins left="0.7" right="0.7" top="0.75" bottom="0.75" header="0.3" footer="0.3"/>
      <pageSetup paperSize="9" orientation="portrait" horizontalDpi="300" verticalDpi="300" r:id="rId2"/>
    </customSheetView>
    <customSheetView guid="{B426F9F8-EB1A-4D7B-9478-7E22D414CC12}" showPageBreaks="1" printArea="1">
      <selection activeCell="K11" sqref="K11"/>
      <pageMargins left="0.7" right="0.7" top="0.75" bottom="0.75" header="0.3" footer="0.3"/>
      <pageSetup paperSize="9" orientation="portrait" horizontalDpi="300" verticalDpi="300" r:id="rId3"/>
    </customSheetView>
    <customSheetView guid="{56BC42A3-D967-4F27-BD5A-CB0B8CB7F657}">
      <selection activeCell="K11" sqref="K11"/>
      <pageMargins left="0.7" right="0.7" top="0.75" bottom="0.75" header="0.3" footer="0.3"/>
      <pageSetup paperSize="9" orientation="portrait" horizontalDpi="300" verticalDpi="300" r:id="rId4"/>
    </customSheetView>
    <customSheetView guid="{2A6315F5-C9A2-43A7-B337-00FD30A3EB26}" showPageBreaks="1" printArea="1">
      <selection activeCell="C24" sqref="C24"/>
      <pageMargins left="0.7" right="0.7" top="0.75" bottom="0.75" header="0.3" footer="0.3"/>
      <pageSetup paperSize="9" orientation="portrait" horizontalDpi="300" verticalDpi="300" r:id="rId5"/>
    </customSheetView>
    <customSheetView guid="{E07B67F4-8A17-4050-B9B8-81977BCB02E2}" showPageBreaks="1" printArea="1" topLeftCell="G10">
      <selection activeCell="G27" sqref="G27"/>
      <pageMargins left="0.7" right="0.7" top="0.75" bottom="0.75" header="0.3" footer="0.3"/>
      <pageSetup paperSize="9" orientation="portrait" horizontalDpi="300" verticalDpi="300" r:id="rId6"/>
    </customSheetView>
    <customSheetView guid="{9CD5F6CE-0E1C-42DA-A598-93523B740CBC}" showPageBreaks="1" printArea="1">
      <selection activeCell="D9" sqref="D9"/>
      <pageMargins left="0.7" right="0.7" top="0.75" bottom="0.75" header="0.3" footer="0.3"/>
      <pageSetup paperSize="9" orientation="portrait" horizontalDpi="300" verticalDpi="300" r:id="rId7"/>
    </customSheetView>
    <customSheetView guid="{72B67681-E295-44ED-80A6-F4B618B242B1}">
      <selection activeCell="C24" sqref="C24"/>
    </customSheetView>
    <customSheetView guid="{32A281B9-28FB-4D0E-8C01-BFBADAC8C3C9}" showPageBreaks="1" printArea="1">
      <selection activeCell="G21" sqref="G21"/>
      <pageMargins left="0.7" right="0.7" top="0.75" bottom="0.75" header="0.3" footer="0.3"/>
      <pageSetup paperSize="9" orientation="portrait" horizontalDpi="300" verticalDpi="300" r:id="rId8"/>
    </customSheetView>
    <customSheetView guid="{77799D3C-38E2-410A-80FA-AECD8E6AB89B}">
      <selection activeCell="K11" sqref="K11"/>
      <pageMargins left="0.7" right="0.7" top="0.75" bottom="0.75" header="0.3" footer="0.3"/>
      <pageSetup paperSize="9" orientation="portrait" horizontalDpi="300" verticalDpi="300" r:id="rId9"/>
    </customSheetView>
    <customSheetView guid="{13EBDE9D-EC74-4522-9EED-363E735B4A78}" showPageBreaks="1" printArea="1" topLeftCell="B4">
      <selection activeCell="Q25" sqref="Q25"/>
      <pageMargins left="0.7" right="0.7" top="0.75" bottom="0.75" header="0.3" footer="0.3"/>
      <pageSetup paperSize="9" orientation="portrait" horizontalDpi="300" verticalDpi="300" r:id="rId10"/>
    </customSheetView>
  </customSheetViews>
  <mergeCells count="17">
    <mergeCell ref="A18:B18"/>
    <mergeCell ref="D3:D4"/>
    <mergeCell ref="E3:E4"/>
    <mergeCell ref="F3:F4"/>
    <mergeCell ref="G3:G4"/>
    <mergeCell ref="A17:B17"/>
    <mergeCell ref="A3:A5"/>
    <mergeCell ref="A9:B12"/>
    <mergeCell ref="A13:B16"/>
    <mergeCell ref="M2:R2"/>
    <mergeCell ref="M3:Q3"/>
    <mergeCell ref="A2:K2"/>
    <mergeCell ref="B3:B4"/>
    <mergeCell ref="C3:C4"/>
    <mergeCell ref="J3:J4"/>
    <mergeCell ref="K3:K4"/>
    <mergeCell ref="H3:I3"/>
  </mergeCells>
  <pageMargins left="0.7" right="0.7" top="0.75" bottom="0.75" header="0.3" footer="0.3"/>
  <pageSetup paperSize="9" orientation="portrait" horizontalDpi="300" verticalDpi="3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view="pageBreakPreview" zoomScale="80" zoomScaleNormal="85" zoomScaleSheetLayoutView="80" workbookViewId="0">
      <selection activeCell="A24" sqref="A24"/>
    </sheetView>
  </sheetViews>
  <sheetFormatPr defaultColWidth="9.140625" defaultRowHeight="15.75" x14ac:dyDescent="0.25"/>
  <cols>
    <col min="1" max="1" width="125.28515625" style="43" bestFit="1" customWidth="1"/>
    <col min="2" max="4" width="26.5703125" style="43" customWidth="1"/>
    <col min="5" max="5" width="23.7109375" style="43" customWidth="1"/>
    <col min="6" max="7" width="18.140625" style="43" customWidth="1"/>
    <col min="8" max="8" width="42.140625" style="43" customWidth="1"/>
    <col min="9" max="9" width="16.7109375" style="43" bestFit="1" customWidth="1"/>
    <col min="10" max="10" width="9.140625" style="43"/>
    <col min="11" max="11" width="15" style="43" bestFit="1" customWidth="1"/>
    <col min="12" max="12" width="18.42578125" style="43" bestFit="1" customWidth="1"/>
    <col min="13" max="13" width="15" style="43" bestFit="1" customWidth="1"/>
    <col min="14" max="14" width="16.140625" style="43" bestFit="1" customWidth="1"/>
    <col min="15" max="15" width="13.7109375" style="43" bestFit="1" customWidth="1"/>
    <col min="16" max="16" width="21" style="43" customWidth="1"/>
    <col min="17" max="17" width="21.5703125" style="43" customWidth="1"/>
    <col min="18" max="18" width="22.140625" style="43" customWidth="1"/>
    <col min="19" max="19" width="14.85546875" style="43" customWidth="1"/>
    <col min="20" max="20" width="19.85546875" style="43" customWidth="1"/>
    <col min="21" max="16384" width="9.140625" style="43"/>
  </cols>
  <sheetData>
    <row r="1" spans="1:19" ht="16.5" thickBot="1" x14ac:dyDescent="0.3">
      <c r="A1" s="413" t="s">
        <v>306</v>
      </c>
      <c r="B1" s="414"/>
      <c r="C1" s="414"/>
      <c r="D1" s="414"/>
      <c r="E1" s="414"/>
      <c r="F1" s="414"/>
      <c r="G1" s="414"/>
      <c r="H1" s="415"/>
      <c r="K1" s="416" t="s">
        <v>307</v>
      </c>
      <c r="L1" s="417"/>
      <c r="M1" s="417"/>
      <c r="N1" s="417"/>
      <c r="O1" s="418"/>
    </row>
    <row r="2" spans="1:19" ht="78.75" x14ac:dyDescent="0.25">
      <c r="A2" s="44" t="s">
        <v>308</v>
      </c>
      <c r="B2" s="45" t="s">
        <v>309</v>
      </c>
      <c r="C2" s="45" t="s">
        <v>310</v>
      </c>
      <c r="D2" s="45" t="s">
        <v>311</v>
      </c>
      <c r="E2" s="45" t="s">
        <v>312</v>
      </c>
      <c r="F2" s="45" t="s">
        <v>313</v>
      </c>
      <c r="G2" s="45" t="s">
        <v>314</v>
      </c>
      <c r="H2" s="45" t="s">
        <v>315</v>
      </c>
      <c r="I2" s="46" t="s">
        <v>316</v>
      </c>
      <c r="J2" s="46" t="s">
        <v>317</v>
      </c>
      <c r="K2" s="47" t="s">
        <v>318</v>
      </c>
      <c r="L2" s="47" t="s">
        <v>319</v>
      </c>
      <c r="M2" s="47" t="s">
        <v>320</v>
      </c>
      <c r="N2" s="48" t="s">
        <v>321</v>
      </c>
      <c r="O2" s="47" t="s">
        <v>322</v>
      </c>
      <c r="P2" s="43">
        <v>1.95583</v>
      </c>
    </row>
    <row r="3" spans="1:19" ht="17.25" customHeight="1" x14ac:dyDescent="0.25">
      <c r="A3" s="419" t="s">
        <v>323</v>
      </c>
      <c r="B3" s="419"/>
      <c r="C3" s="419"/>
      <c r="D3" s="419"/>
      <c r="E3" s="419"/>
      <c r="F3" s="419"/>
      <c r="G3" s="419"/>
      <c r="H3" s="419"/>
      <c r="K3" s="49">
        <v>428871428.57142854</v>
      </c>
      <c r="L3" s="49">
        <f>K3*0.2</f>
        <v>85774285.714285716</v>
      </c>
      <c r="M3" s="49">
        <f>K3-L3</f>
        <v>343097142.85714281</v>
      </c>
      <c r="N3" s="49">
        <f>M3*0.7</f>
        <v>240167999.99999994</v>
      </c>
      <c r="O3" s="50">
        <f>0.3*M3</f>
        <v>102929142.85714284</v>
      </c>
    </row>
    <row r="4" spans="1:19" x14ac:dyDescent="0.25">
      <c r="A4" s="51" t="s">
        <v>324</v>
      </c>
      <c r="B4" s="52">
        <f>0.2*C4</f>
        <v>10507349.999999998</v>
      </c>
      <c r="C4" s="52">
        <f>70/100*D4</f>
        <v>52536749.999999985</v>
      </c>
      <c r="D4" s="52">
        <f>J4*N4</f>
        <v>75052499.999999985</v>
      </c>
      <c r="E4" s="52">
        <f>70/100*F4</f>
        <v>42029399.999999985</v>
      </c>
      <c r="F4" s="52">
        <f>J4*$N$3</f>
        <v>60041999.999999985</v>
      </c>
      <c r="G4" s="52">
        <f>F4*$P$2</f>
        <v>117431944.85999997</v>
      </c>
      <c r="H4" s="53" t="s">
        <v>325</v>
      </c>
      <c r="I4" s="54">
        <f>F4/$F$8</f>
        <v>0.13999999999999999</v>
      </c>
      <c r="J4" s="54">
        <v>0.25</v>
      </c>
      <c r="N4" s="43">
        <f>70/100*K3</f>
        <v>300209999.99999994</v>
      </c>
      <c r="O4" s="43">
        <f>30/100*K3</f>
        <v>128661428.57142855</v>
      </c>
      <c r="P4" s="55"/>
      <c r="Q4" s="56"/>
      <c r="R4" s="56"/>
      <c r="S4" s="56"/>
    </row>
    <row r="5" spans="1:19" ht="31.5" x14ac:dyDescent="0.25">
      <c r="A5" s="57" t="s">
        <v>326</v>
      </c>
      <c r="B5" s="52">
        <f>0.2*C5</f>
        <v>31522049.999999989</v>
      </c>
      <c r="C5" s="52">
        <f>70/100*D5</f>
        <v>157610249.99999994</v>
      </c>
      <c r="D5" s="52">
        <f>J5*N4</f>
        <v>225157499.99999994</v>
      </c>
      <c r="E5" s="52">
        <f>70/100*F5</f>
        <v>126088199.99999996</v>
      </c>
      <c r="F5" s="52">
        <f>J5*$N$3</f>
        <v>180125999.99999994</v>
      </c>
      <c r="G5" s="52">
        <f>F5*$P$2</f>
        <v>352295834.57999986</v>
      </c>
      <c r="H5" s="53" t="s">
        <v>327</v>
      </c>
      <c r="I5" s="54">
        <f>F5/$F$8</f>
        <v>0.41999999999999987</v>
      </c>
      <c r="J5" s="54">
        <v>0.75</v>
      </c>
      <c r="P5" s="56"/>
      <c r="Q5" s="56"/>
      <c r="R5" s="56"/>
      <c r="S5" s="56"/>
    </row>
    <row r="6" spans="1:19" ht="47.25" x14ac:dyDescent="0.25">
      <c r="A6" s="58" t="s">
        <v>328</v>
      </c>
      <c r="B6" s="52">
        <f>0.2*C6</f>
        <v>18012599.999999996</v>
      </c>
      <c r="C6" s="52">
        <f>70/100*D6</f>
        <v>90062999.999999985</v>
      </c>
      <c r="D6" s="52">
        <f>O4</f>
        <v>128661428.57142855</v>
      </c>
      <c r="E6" s="52">
        <f>70/100*F6</f>
        <v>72050399.999999985</v>
      </c>
      <c r="F6" s="52">
        <f>O3</f>
        <v>102929142.85714284</v>
      </c>
      <c r="G6" s="52">
        <f>F6*$P$2</f>
        <v>201311905.47428566</v>
      </c>
      <c r="H6" s="53" t="s">
        <v>329</v>
      </c>
      <c r="I6" s="54">
        <f>F6/$F$8</f>
        <v>0.23999999999999996</v>
      </c>
    </row>
    <row r="7" spans="1:19" ht="31.5" x14ac:dyDescent="0.25">
      <c r="A7" s="59" t="s">
        <v>330</v>
      </c>
      <c r="B7" s="86">
        <f>E7-B4-B5-B6</f>
        <v>0</v>
      </c>
      <c r="C7" s="59"/>
      <c r="D7" s="59">
        <f>D4/70*100*1.95583-120000000</f>
        <v>89699901.535714239</v>
      </c>
      <c r="E7" s="52">
        <f>70/100*F7</f>
        <v>60042000</v>
      </c>
      <c r="F7" s="60">
        <f>L3</f>
        <v>85774285.714285716</v>
      </c>
      <c r="G7" s="52">
        <f>F7*$P$2</f>
        <v>167759921.22857141</v>
      </c>
      <c r="H7" s="61" t="s">
        <v>331</v>
      </c>
      <c r="I7" s="54">
        <f>F7/$F$8</f>
        <v>0.2</v>
      </c>
    </row>
    <row r="8" spans="1:19" x14ac:dyDescent="0.25">
      <c r="A8" s="62" t="s">
        <v>332</v>
      </c>
      <c r="B8" s="62"/>
      <c r="C8" s="62"/>
      <c r="D8" s="62"/>
      <c r="E8" s="50">
        <f>SUM(E4:E7)</f>
        <v>300209999.99999994</v>
      </c>
      <c r="F8" s="63">
        <f>SUM(F4:F7)</f>
        <v>428871428.57142854</v>
      </c>
      <c r="G8" s="63">
        <f>SUM(G4:G7)</f>
        <v>838799606.14285684</v>
      </c>
      <c r="H8" s="64"/>
    </row>
    <row r="9" spans="1:19" ht="51.75" customHeight="1" thickBot="1" x14ac:dyDescent="0.3">
      <c r="A9" s="420" t="s">
        <v>333</v>
      </c>
      <c r="B9" s="421"/>
      <c r="C9" s="421"/>
      <c r="D9" s="421"/>
      <c r="E9" s="421"/>
      <c r="F9" s="421"/>
      <c r="G9" s="421"/>
      <c r="H9" s="422"/>
      <c r="I9" s="46" t="s">
        <v>334</v>
      </c>
      <c r="J9" s="46"/>
      <c r="K9" s="65" t="s">
        <v>335</v>
      </c>
      <c r="L9" s="65" t="s">
        <v>336</v>
      </c>
      <c r="M9" s="65" t="s">
        <v>337</v>
      </c>
      <c r="N9" s="66" t="s">
        <v>338</v>
      </c>
      <c r="O9" s="65"/>
    </row>
    <row r="10" spans="1:19" ht="31.5" x14ac:dyDescent="0.25">
      <c r="A10" s="67" t="s">
        <v>339</v>
      </c>
      <c r="B10" s="67"/>
      <c r="C10" s="67"/>
      <c r="D10" s="67"/>
      <c r="E10" s="67"/>
      <c r="F10" s="68">
        <f>I10*K10</f>
        <v>106490914.2857143</v>
      </c>
      <c r="G10" s="68">
        <f t="shared" ref="G10:G15" si="0">F10*$P$2</f>
        <v>208278124.88742858</v>
      </c>
      <c r="H10" s="53" t="s">
        <v>340</v>
      </c>
      <c r="I10" s="54">
        <v>0.17</v>
      </c>
      <c r="K10" s="49">
        <v>626417142.85714293</v>
      </c>
      <c r="L10" s="49">
        <f>F16</f>
        <v>93962571.428571433</v>
      </c>
      <c r="M10" s="69">
        <f>I10+I11+I12</f>
        <v>0.55000000000000004</v>
      </c>
      <c r="N10" s="69">
        <f>I16+I15+I14+I13</f>
        <v>0.45</v>
      </c>
      <c r="O10" s="50"/>
    </row>
    <row r="11" spans="1:19" ht="31.5" x14ac:dyDescent="0.25">
      <c r="A11" s="70" t="s">
        <v>341</v>
      </c>
      <c r="B11" s="70"/>
      <c r="C11" s="70"/>
      <c r="D11" s="70"/>
      <c r="E11" s="70"/>
      <c r="F11" s="71">
        <f>I11*K10</f>
        <v>175396800.00000003</v>
      </c>
      <c r="G11" s="68">
        <f t="shared" si="0"/>
        <v>343046323.34400004</v>
      </c>
      <c r="H11" s="53" t="s">
        <v>342</v>
      </c>
      <c r="I11" s="54">
        <v>0.28000000000000003</v>
      </c>
    </row>
    <row r="12" spans="1:19" x14ac:dyDescent="0.25">
      <c r="A12" s="70" t="s">
        <v>343</v>
      </c>
      <c r="B12" s="70"/>
      <c r="C12" s="70"/>
      <c r="D12" s="70"/>
      <c r="E12" s="70"/>
      <c r="F12" s="71">
        <f>I12*K10</f>
        <v>62641714.285714298</v>
      </c>
      <c r="G12" s="68">
        <f t="shared" si="0"/>
        <v>122516544.0514286</v>
      </c>
      <c r="H12" s="53" t="s">
        <v>344</v>
      </c>
      <c r="I12" s="54">
        <v>0.1</v>
      </c>
    </row>
    <row r="13" spans="1:19" ht="31.5" x14ac:dyDescent="0.25">
      <c r="A13" s="70" t="s">
        <v>345</v>
      </c>
      <c r="B13" s="70"/>
      <c r="C13" s="70"/>
      <c r="D13" s="70"/>
      <c r="E13" s="70"/>
      <c r="F13" s="71">
        <f>I13*K10</f>
        <v>31320857.142857149</v>
      </c>
      <c r="G13" s="68">
        <f t="shared" si="0"/>
        <v>61258272.025714301</v>
      </c>
      <c r="H13" s="53" t="s">
        <v>346</v>
      </c>
      <c r="I13" s="54">
        <v>0.05</v>
      </c>
    </row>
    <row r="14" spans="1:19" x14ac:dyDescent="0.25">
      <c r="A14" s="58" t="s">
        <v>347</v>
      </c>
      <c r="B14" s="58"/>
      <c r="C14" s="58"/>
      <c r="D14" s="58"/>
      <c r="E14" s="58"/>
      <c r="F14" s="71">
        <f>I14*K10</f>
        <v>62641714.285714298</v>
      </c>
      <c r="G14" s="68">
        <f t="shared" si="0"/>
        <v>122516544.0514286</v>
      </c>
      <c r="H14" s="53" t="s">
        <v>348</v>
      </c>
      <c r="I14" s="54">
        <v>0.1</v>
      </c>
    </row>
    <row r="15" spans="1:19" ht="31.5" x14ac:dyDescent="0.25">
      <c r="A15" s="70" t="s">
        <v>349</v>
      </c>
      <c r="B15" s="70"/>
      <c r="C15" s="70"/>
      <c r="D15" s="70"/>
      <c r="E15" s="70"/>
      <c r="F15" s="71">
        <f>I15*K10</f>
        <v>93962571.428571433</v>
      </c>
      <c r="G15" s="68">
        <f t="shared" si="0"/>
        <v>183774816.07714286</v>
      </c>
      <c r="H15" s="53" t="s">
        <v>350</v>
      </c>
      <c r="I15" s="54">
        <v>0.15</v>
      </c>
    </row>
    <row r="16" spans="1:19" ht="31.5" x14ac:dyDescent="0.25">
      <c r="A16" s="70" t="s">
        <v>351</v>
      </c>
      <c r="B16" s="70"/>
      <c r="C16" s="70"/>
      <c r="D16" s="70"/>
      <c r="E16" s="70"/>
      <c r="F16" s="71">
        <f>I16*K10</f>
        <v>93962571.428571433</v>
      </c>
      <c r="G16" s="68">
        <f>F16*$P$2</f>
        <v>183774816.07714286</v>
      </c>
      <c r="H16" s="53" t="s">
        <v>352</v>
      </c>
      <c r="I16" s="54">
        <v>0.15</v>
      </c>
    </row>
    <row r="17" spans="1:15" x14ac:dyDescent="0.25">
      <c r="A17" s="62" t="s">
        <v>353</v>
      </c>
      <c r="B17" s="62"/>
      <c r="C17" s="62"/>
      <c r="D17" s="62"/>
      <c r="E17" s="62"/>
      <c r="F17" s="63">
        <f>SUM(F10:F16)</f>
        <v>626417142.85714304</v>
      </c>
      <c r="G17" s="63">
        <f>F17*$P$2</f>
        <v>1225165440.514286</v>
      </c>
      <c r="H17" s="72"/>
    </row>
    <row r="18" spans="1:15" ht="47.25" x14ac:dyDescent="0.25">
      <c r="A18" s="410" t="s">
        <v>354</v>
      </c>
      <c r="B18" s="411"/>
      <c r="C18" s="411"/>
      <c r="D18" s="411"/>
      <c r="E18" s="411"/>
      <c r="F18" s="411"/>
      <c r="G18" s="411"/>
      <c r="H18" s="412"/>
      <c r="I18" s="46" t="s">
        <v>355</v>
      </c>
      <c r="J18" s="46"/>
      <c r="K18" s="65" t="s">
        <v>356</v>
      </c>
      <c r="L18" s="65" t="s">
        <v>357</v>
      </c>
      <c r="M18" s="65" t="s">
        <v>358</v>
      </c>
      <c r="N18" s="66" t="s">
        <v>359</v>
      </c>
      <c r="O18" s="65"/>
    </row>
    <row r="19" spans="1:15" ht="31.5" x14ac:dyDescent="0.25">
      <c r="A19" s="70" t="s">
        <v>360</v>
      </c>
      <c r="B19" s="70"/>
      <c r="C19" s="70"/>
      <c r="D19" s="70"/>
      <c r="E19" s="70"/>
      <c r="F19" s="71">
        <f>I19*K19</f>
        <v>146164000</v>
      </c>
      <c r="G19" s="71">
        <f t="shared" ref="G19:G30" si="1">F19*$P$2</f>
        <v>285871936.12</v>
      </c>
      <c r="H19" s="53" t="s">
        <v>361</v>
      </c>
      <c r="I19" s="54">
        <v>0.35</v>
      </c>
      <c r="K19" s="49">
        <v>417611428.5714286</v>
      </c>
      <c r="L19" s="49">
        <f>F25</f>
        <v>57820285.714285731</v>
      </c>
      <c r="M19" s="69">
        <f>I19+I20+I21+I22</f>
        <v>0.75</v>
      </c>
      <c r="N19" s="69">
        <f>I23+I24+I25</f>
        <v>0.25</v>
      </c>
      <c r="O19" s="50"/>
    </row>
    <row r="20" spans="1:15" ht="47.25" x14ac:dyDescent="0.25">
      <c r="A20" s="70" t="s">
        <v>362</v>
      </c>
      <c r="B20" s="70"/>
      <c r="C20" s="70"/>
      <c r="D20" s="70"/>
      <c r="E20" s="70"/>
      <c r="F20" s="71">
        <f>I20*K19</f>
        <v>83522285.714285731</v>
      </c>
      <c r="G20" s="71">
        <f t="shared" si="1"/>
        <v>163355392.06857145</v>
      </c>
      <c r="H20" s="53" t="s">
        <v>363</v>
      </c>
      <c r="I20" s="54">
        <v>0.2</v>
      </c>
    </row>
    <row r="21" spans="1:15" ht="47.25" x14ac:dyDescent="0.25">
      <c r="A21" s="70" t="s">
        <v>364</v>
      </c>
      <c r="B21" s="70"/>
      <c r="C21" s="70"/>
      <c r="D21" s="70"/>
      <c r="E21" s="70"/>
      <c r="F21" s="71">
        <f>I21*K19</f>
        <v>41761142.857142866</v>
      </c>
      <c r="G21" s="71">
        <f t="shared" si="1"/>
        <v>81677696.034285724</v>
      </c>
      <c r="H21" s="53" t="s">
        <v>365</v>
      </c>
      <c r="I21" s="54">
        <v>0.1</v>
      </c>
    </row>
    <row r="22" spans="1:15" x14ac:dyDescent="0.25">
      <c r="A22" s="70" t="s">
        <v>366</v>
      </c>
      <c r="B22" s="70"/>
      <c r="C22" s="70"/>
      <c r="D22" s="70"/>
      <c r="E22" s="70"/>
      <c r="F22" s="71">
        <f>I22*K19</f>
        <v>41761142.857142866</v>
      </c>
      <c r="G22" s="71">
        <f t="shared" si="1"/>
        <v>81677696.034285724</v>
      </c>
      <c r="H22" s="53" t="s">
        <v>367</v>
      </c>
      <c r="I22" s="54">
        <v>0.1</v>
      </c>
    </row>
    <row r="23" spans="1:15" x14ac:dyDescent="0.25">
      <c r="A23" s="70" t="s">
        <v>368</v>
      </c>
      <c r="B23" s="70"/>
      <c r="C23" s="70"/>
      <c r="D23" s="70"/>
      <c r="E23" s="70"/>
      <c r="F23" s="71">
        <f>I23*K19</f>
        <v>20880571.428571433</v>
      </c>
      <c r="G23" s="71">
        <f>F23*$P$2</f>
        <v>40838848.017142862</v>
      </c>
      <c r="H23" s="53" t="s">
        <v>369</v>
      </c>
      <c r="I23" s="54">
        <v>0.05</v>
      </c>
    </row>
    <row r="24" spans="1:15" x14ac:dyDescent="0.25">
      <c r="A24" s="70" t="s">
        <v>370</v>
      </c>
      <c r="B24" s="70"/>
      <c r="C24" s="70"/>
      <c r="D24" s="70"/>
      <c r="E24" s="70"/>
      <c r="F24" s="71">
        <f>I24*K19</f>
        <v>25701999.999999989</v>
      </c>
      <c r="G24" s="71">
        <f>F24*$P$2</f>
        <v>50268742.659999974</v>
      </c>
      <c r="H24" s="53" t="s">
        <v>371</v>
      </c>
      <c r="I24" s="54">
        <f>20%-I25</f>
        <v>6.1545250540488733E-2</v>
      </c>
    </row>
    <row r="25" spans="1:15" ht="47.25" x14ac:dyDescent="0.25">
      <c r="A25" s="70" t="s">
        <v>372</v>
      </c>
      <c r="B25" s="70"/>
      <c r="C25" s="70"/>
      <c r="D25" s="70"/>
      <c r="E25" s="70"/>
      <c r="F25" s="71">
        <f>F33-F16</f>
        <v>57820285.714285731</v>
      </c>
      <c r="G25" s="71">
        <f t="shared" si="1"/>
        <v>113086649.40857147</v>
      </c>
      <c r="H25" s="53" t="s">
        <v>373</v>
      </c>
      <c r="I25" s="73">
        <f>F25/K19</f>
        <v>0.13845474945951128</v>
      </c>
      <c r="K25" s="65" t="s">
        <v>374</v>
      </c>
      <c r="L25" s="65" t="s">
        <v>375</v>
      </c>
      <c r="M25" s="65" t="s">
        <v>376</v>
      </c>
      <c r="N25" s="66" t="s">
        <v>377</v>
      </c>
      <c r="O25" s="65"/>
    </row>
    <row r="26" spans="1:15" x14ac:dyDescent="0.25">
      <c r="A26" s="62" t="s">
        <v>378</v>
      </c>
      <c r="B26" s="62"/>
      <c r="C26" s="62"/>
      <c r="D26" s="62"/>
      <c r="E26" s="62"/>
      <c r="F26" s="63">
        <f>SUM(F19:F25)</f>
        <v>417611428.57142866</v>
      </c>
      <c r="G26" s="63">
        <f t="shared" si="1"/>
        <v>816776960.34285724</v>
      </c>
      <c r="H26" s="72"/>
      <c r="I26" s="54"/>
      <c r="K26" s="49">
        <f>K10+K19</f>
        <v>1044028571.4285715</v>
      </c>
      <c r="L26" s="49">
        <f>L19+L10</f>
        <v>151782857.14285716</v>
      </c>
      <c r="M26" s="69">
        <f>(F10+F11+F12+F19+F20+F21+F22)/K26</f>
        <v>0.63000000000000023</v>
      </c>
      <c r="N26" s="69">
        <f>(F13+F14+F15+F16+F23+F24+F25)/K26</f>
        <v>0.37</v>
      </c>
      <c r="O26" s="50"/>
    </row>
    <row r="27" spans="1:15" ht="15.75" customHeight="1" x14ac:dyDescent="0.25">
      <c r="A27" s="410" t="s">
        <v>379</v>
      </c>
      <c r="B27" s="411"/>
      <c r="C27" s="411"/>
      <c r="D27" s="411"/>
      <c r="E27" s="411"/>
      <c r="F27" s="411"/>
      <c r="G27" s="411"/>
      <c r="H27" s="412"/>
      <c r="I27" s="54"/>
    </row>
    <row r="28" spans="1:15" x14ac:dyDescent="0.25">
      <c r="A28" s="62" t="s">
        <v>380</v>
      </c>
      <c r="B28" s="62"/>
      <c r="C28" s="62"/>
      <c r="D28" s="62"/>
      <c r="E28" s="62"/>
      <c r="F28" s="63">
        <v>44928571.428571425</v>
      </c>
      <c r="G28" s="63">
        <f>F28*1.95583</f>
        <v>87872647.857142851</v>
      </c>
      <c r="H28" s="72"/>
      <c r="I28" s="54"/>
    </row>
    <row r="29" spans="1:15" ht="31.5" x14ac:dyDescent="0.25">
      <c r="A29" s="74" t="s">
        <v>381</v>
      </c>
      <c r="B29" s="74"/>
      <c r="C29" s="74"/>
      <c r="D29" s="74"/>
      <c r="E29" s="74"/>
      <c r="F29" s="75">
        <f>F26+F17+F28</f>
        <v>1088957142.8571432</v>
      </c>
      <c r="G29" s="75">
        <f t="shared" si="1"/>
        <v>2129815048.7142863</v>
      </c>
      <c r="H29" s="75"/>
      <c r="I29" s="54"/>
      <c r="K29" s="65" t="s">
        <v>382</v>
      </c>
      <c r="L29" s="65" t="s">
        <v>383</v>
      </c>
    </row>
    <row r="30" spans="1:15" ht="30" customHeight="1" x14ac:dyDescent="0.25">
      <c r="A30" s="74" t="s">
        <v>384</v>
      </c>
      <c r="B30" s="74"/>
      <c r="C30" s="74"/>
      <c r="D30" s="74"/>
      <c r="E30" s="74"/>
      <c r="F30" s="75">
        <f>F29+F8</f>
        <v>1517828571.4285717</v>
      </c>
      <c r="G30" s="75">
        <f t="shared" si="1"/>
        <v>2968614654.8571434</v>
      </c>
      <c r="H30" s="75"/>
      <c r="I30" s="54"/>
      <c r="K30" s="49">
        <v>1517828571.4285715</v>
      </c>
      <c r="L30" s="76">
        <f>L26/K30</f>
        <v>0.1</v>
      </c>
    </row>
    <row r="32" spans="1:15" x14ac:dyDescent="0.25">
      <c r="L32" s="77"/>
    </row>
    <row r="33" spans="6:7" x14ac:dyDescent="0.25">
      <c r="F33" s="77">
        <v>151782857.14285716</v>
      </c>
      <c r="G33" s="77">
        <f>F33*1.95583</f>
        <v>296861465.48571432</v>
      </c>
    </row>
  </sheetData>
  <customSheetViews>
    <customSheetView guid="{D1BD168D-40B4-46AB-88B7-64C22520CFA0}" scale="80" showPageBreaks="1" fitToPage="1" printArea="1" state="hidden" view="pageBreakPreview">
      <selection activeCell="A24" sqref="A24"/>
      <pageMargins left="0.7" right="0.7" top="0.75" bottom="0.75" header="0.3" footer="0.3"/>
      <pageSetup paperSize="9" scale="31" orientation="landscape" r:id="rId1"/>
    </customSheetView>
    <customSheetView guid="{AD504361-49F3-4986-BDBF-FB73E2299976}" scale="80" showPageBreaks="1" fitToPage="1" printArea="1" state="hidden" view="pageBreakPreview">
      <selection activeCell="A24" sqref="A24"/>
      <pageMargins left="0.7" right="0.7" top="0.75" bottom="0.75" header="0.3" footer="0.3"/>
      <pageSetup paperSize="9" scale="31" orientation="landscape" r:id="rId2"/>
    </customSheetView>
    <customSheetView guid="{B426F9F8-EB1A-4D7B-9478-7E22D414CC12}" scale="80" showPageBreaks="1" fitToPage="1" printArea="1" state="hidden" view="pageBreakPreview">
      <selection activeCell="A24" sqref="A24"/>
      <pageMargins left="0.7" right="0.7" top="0.75" bottom="0.75" header="0.3" footer="0.3"/>
      <pageSetup paperSize="9" scale="31" orientation="landscape" r:id="rId3"/>
    </customSheetView>
    <customSheetView guid="{56BC42A3-D967-4F27-BD5A-CB0B8CB7F657}" scale="80" showPageBreaks="1" fitToPage="1" printArea="1" state="hidden" view="pageBreakPreview">
      <selection activeCell="A24" sqref="A24"/>
      <pageMargins left="0.7" right="0.7" top="0.75" bottom="0.75" header="0.3" footer="0.3"/>
      <pageSetup paperSize="9" scale="31" orientation="landscape" r:id="rId4"/>
    </customSheetView>
    <customSheetView guid="{2A6315F5-C9A2-43A7-B337-00FD30A3EB26}" scale="80" showPageBreaks="1" fitToPage="1" printArea="1" state="hidden" view="pageBreakPreview">
      <selection activeCell="A24" sqref="A24"/>
      <pageMargins left="0.7" right="0.7" top="0.75" bottom="0.75" header="0.3" footer="0.3"/>
      <pageSetup paperSize="9" scale="31" orientation="landscape" r:id="rId5"/>
    </customSheetView>
    <customSheetView guid="{E07B67F4-8A17-4050-B9B8-81977BCB02E2}" scale="80" showPageBreaks="1" fitToPage="1" printArea="1" state="hidden" view="pageBreakPreview">
      <selection activeCell="A24" sqref="A24"/>
      <pageMargins left="0.7" right="0.7" top="0.75" bottom="0.75" header="0.3" footer="0.3"/>
      <pageSetup paperSize="9" scale="31" orientation="landscape" r:id="rId6"/>
    </customSheetView>
    <customSheetView guid="{9CD5F6CE-0E1C-42DA-A598-93523B740CBC}" scale="80" showPageBreaks="1" fitToPage="1" printArea="1" state="hidden" view="pageBreakPreview">
      <selection activeCell="A24" sqref="A24"/>
      <pageMargins left="0.7" right="0.7" top="0.75" bottom="0.75" header="0.3" footer="0.3"/>
      <pageSetup paperSize="9" scale="31" orientation="landscape" r:id="rId7"/>
    </customSheetView>
    <customSheetView guid="{72B67681-E295-44ED-80A6-F4B618B242B1}" scale="80" showPageBreaks="1" state="hidden" view="pageBreakPreview">
      <selection activeCell="A24" sqref="A24"/>
    </customSheetView>
    <customSheetView guid="{32A281B9-28FB-4D0E-8C01-BFBADAC8C3C9}" scale="80" showPageBreaks="1" fitToPage="1" printArea="1" state="hidden" view="pageBreakPreview">
      <selection activeCell="A24" sqref="A24"/>
      <pageMargins left="0.7" right="0.7" top="0.75" bottom="0.75" header="0.3" footer="0.3"/>
      <pageSetup paperSize="9" scale="31" orientation="landscape" r:id="rId8"/>
    </customSheetView>
    <customSheetView guid="{77799D3C-38E2-410A-80FA-AECD8E6AB89B}" scale="80" showPageBreaks="1" fitToPage="1" printArea="1" state="hidden" view="pageBreakPreview">
      <selection activeCell="A24" sqref="A24"/>
      <pageMargins left="0.7" right="0.7" top="0.75" bottom="0.75" header="0.3" footer="0.3"/>
      <pageSetup paperSize="9" scale="31" orientation="landscape" r:id="rId9"/>
    </customSheetView>
    <customSheetView guid="{13EBDE9D-EC74-4522-9EED-363E735B4A78}" scale="80" showPageBreaks="1" fitToPage="1" printArea="1" state="hidden" view="pageBreakPreview">
      <selection activeCell="A24" sqref="A24"/>
      <pageMargins left="0.7" right="0.7" top="0.75" bottom="0.75" header="0.3" footer="0.3"/>
      <pageSetup paperSize="9" scale="31" orientation="landscape" r:id="rId10"/>
    </customSheetView>
  </customSheetViews>
  <mergeCells count="6">
    <mergeCell ref="A27:H27"/>
    <mergeCell ref="A1:H1"/>
    <mergeCell ref="K1:O1"/>
    <mergeCell ref="A3:H3"/>
    <mergeCell ref="A9:H9"/>
    <mergeCell ref="A18:H18"/>
  </mergeCells>
  <pageMargins left="0.7" right="0.7" top="0.75" bottom="0.75" header="0.3" footer="0.3"/>
  <pageSetup paperSize="9" scale="31" orientation="landscape"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82"/>
  <sheetViews>
    <sheetView topLeftCell="A49" zoomScaleNormal="100" zoomScaleSheetLayoutView="100" workbookViewId="0">
      <pane xSplit="1" topLeftCell="B1" activePane="topRight" state="frozen"/>
      <selection pane="topRight" activeCell="A45" sqref="A45"/>
    </sheetView>
  </sheetViews>
  <sheetFormatPr defaultColWidth="21.42578125" defaultRowHeight="15" x14ac:dyDescent="0.25"/>
  <cols>
    <col min="1" max="1" width="20.7109375" style="111" customWidth="1"/>
    <col min="2" max="2" width="6.28515625" style="111" customWidth="1"/>
    <col min="3" max="4" width="8.5703125" style="151" customWidth="1"/>
    <col min="5" max="5" width="66.28515625" style="111" customWidth="1"/>
    <col min="6" max="6" width="59" style="112" customWidth="1"/>
    <col min="7" max="7" width="25.42578125" style="111" customWidth="1"/>
    <col min="8" max="8" width="110.5703125" style="111" customWidth="1"/>
    <col min="9" max="9" width="96.28515625" style="111" customWidth="1"/>
    <col min="10" max="10" width="19.140625" customWidth="1"/>
    <col min="11" max="11" width="13.28515625" style="111" customWidth="1"/>
    <col min="12" max="12" width="12.140625" style="111" customWidth="1"/>
    <col min="13" max="13" width="8.140625" style="111" customWidth="1"/>
    <col min="14" max="16384" width="21.42578125" style="286"/>
  </cols>
  <sheetData>
    <row r="1" spans="1:15" s="284" customFormat="1" ht="107.25" customHeight="1" x14ac:dyDescent="0.25">
      <c r="A1" s="290" t="s">
        <v>89</v>
      </c>
      <c r="B1" s="291" t="s">
        <v>90</v>
      </c>
      <c r="C1" s="292" t="s">
        <v>91</v>
      </c>
      <c r="D1" s="292" t="s">
        <v>92</v>
      </c>
      <c r="E1" s="291" t="s">
        <v>93</v>
      </c>
      <c r="F1" s="291" t="s">
        <v>94</v>
      </c>
      <c r="G1" s="291" t="s">
        <v>95</v>
      </c>
      <c r="H1" s="291" t="s">
        <v>96</v>
      </c>
      <c r="I1" s="291" t="s">
        <v>97</v>
      </c>
      <c r="J1" s="291" t="s">
        <v>98</v>
      </c>
      <c r="K1" s="291" t="s">
        <v>99</v>
      </c>
      <c r="L1" s="291" t="s">
        <v>100</v>
      </c>
      <c r="M1" s="293" t="s">
        <v>101</v>
      </c>
    </row>
    <row r="2" spans="1:15" s="285" customFormat="1" ht="12" x14ac:dyDescent="0.25">
      <c r="A2" s="294">
        <v>1</v>
      </c>
      <c r="B2" s="295">
        <v>2</v>
      </c>
      <c r="C2" s="296">
        <v>3</v>
      </c>
      <c r="D2" s="296">
        <v>4</v>
      </c>
      <c r="E2" s="295">
        <v>5</v>
      </c>
      <c r="F2" s="295">
        <v>5</v>
      </c>
      <c r="G2" s="295">
        <v>6</v>
      </c>
      <c r="H2" s="295">
        <v>7</v>
      </c>
      <c r="I2" s="295">
        <v>8</v>
      </c>
      <c r="J2" s="295">
        <v>9</v>
      </c>
      <c r="K2" s="295">
        <v>10</v>
      </c>
      <c r="L2" s="295">
        <v>11</v>
      </c>
      <c r="M2" s="297">
        <v>12</v>
      </c>
    </row>
    <row r="3" spans="1:15" ht="120" x14ac:dyDescent="0.25">
      <c r="A3" s="298" t="s">
        <v>102</v>
      </c>
      <c r="B3" s="299" t="s">
        <v>103</v>
      </c>
      <c r="C3" s="300">
        <f>+'[1]Detailed distribution'!O3</f>
        <v>25</v>
      </c>
      <c r="D3" s="300">
        <f>+'[1]Detailed distribution'!AB3</f>
        <v>82</v>
      </c>
      <c r="E3" s="301" t="s">
        <v>514</v>
      </c>
      <c r="F3" s="302" t="s">
        <v>536</v>
      </c>
      <c r="G3" s="377" t="s">
        <v>538</v>
      </c>
      <c r="H3" s="301" t="s">
        <v>104</v>
      </c>
      <c r="I3" s="301" t="s">
        <v>543</v>
      </c>
      <c r="J3" s="304">
        <v>142</v>
      </c>
      <c r="K3" s="315">
        <v>4387052.03</v>
      </c>
      <c r="L3" s="316">
        <v>10400397.539999999</v>
      </c>
      <c r="M3" s="305"/>
    </row>
    <row r="4" spans="1:15" ht="12" customHeight="1" x14ac:dyDescent="0.25">
      <c r="A4" s="306"/>
      <c r="B4" s="307"/>
      <c r="C4" s="308"/>
      <c r="D4" s="308"/>
      <c r="E4" s="309"/>
      <c r="F4" s="309"/>
      <c r="G4" s="378"/>
      <c r="H4" s="310"/>
      <c r="I4" s="310"/>
      <c r="J4" s="307" t="s">
        <v>105</v>
      </c>
      <c r="K4" s="339">
        <v>620391.19999999995</v>
      </c>
      <c r="L4" s="340">
        <v>1733399.59</v>
      </c>
      <c r="M4" s="341">
        <v>0.7</v>
      </c>
      <c r="N4" s="287"/>
      <c r="O4" s="287">
        <f>+L3-L4-L5</f>
        <v>0</v>
      </c>
    </row>
    <row r="5" spans="1:15" ht="24" x14ac:dyDescent="0.25">
      <c r="A5" s="306"/>
      <c r="B5" s="307"/>
      <c r="C5" s="308"/>
      <c r="D5" s="308"/>
      <c r="E5" s="309"/>
      <c r="F5" s="309"/>
      <c r="G5" s="378"/>
      <c r="H5" s="310"/>
      <c r="I5" s="310"/>
      <c r="J5" s="307" t="s">
        <v>519</v>
      </c>
      <c r="K5" s="339">
        <v>3766660.83</v>
      </c>
      <c r="L5" s="340">
        <v>8666997.9499999993</v>
      </c>
      <c r="M5" s="341">
        <v>0.85</v>
      </c>
      <c r="N5" s="287"/>
      <c r="O5" s="287"/>
    </row>
    <row r="6" spans="1:15" ht="132" x14ac:dyDescent="0.25">
      <c r="A6" s="298" t="s">
        <v>515</v>
      </c>
      <c r="B6" s="299" t="s">
        <v>106</v>
      </c>
      <c r="C6" s="300">
        <f>+'[1]Detailed distribution'!O4</f>
        <v>25</v>
      </c>
      <c r="D6" s="300">
        <f>+'[1]Detailed distribution'!AB4</f>
        <v>48</v>
      </c>
      <c r="E6" s="303" t="s">
        <v>516</v>
      </c>
      <c r="F6" s="302" t="s">
        <v>537</v>
      </c>
      <c r="G6" s="377" t="s">
        <v>538</v>
      </c>
      <c r="H6" s="301" t="s">
        <v>544</v>
      </c>
      <c r="I6" s="301" t="s">
        <v>545</v>
      </c>
      <c r="J6" s="304">
        <v>141</v>
      </c>
      <c r="K6" s="315">
        <v>2577140.7799999998</v>
      </c>
      <c r="L6" s="316">
        <v>6109635.4500000002</v>
      </c>
      <c r="M6" s="305"/>
      <c r="N6" s="287"/>
      <c r="O6" s="287"/>
    </row>
    <row r="7" spans="1:15" ht="12" customHeight="1" x14ac:dyDescent="0.25">
      <c r="A7" s="306"/>
      <c r="B7" s="307"/>
      <c r="C7" s="308"/>
      <c r="D7" s="308"/>
      <c r="E7" s="309"/>
      <c r="F7" s="309"/>
      <c r="G7" s="378"/>
      <c r="H7" s="310"/>
      <c r="I7" s="310"/>
      <c r="J7" s="307" t="s">
        <v>107</v>
      </c>
      <c r="K7" s="339">
        <v>364444.15</v>
      </c>
      <c r="L7" s="340">
        <v>1018272.57</v>
      </c>
      <c r="M7" s="341">
        <v>0.7</v>
      </c>
      <c r="N7" s="287"/>
      <c r="O7" s="287">
        <f>+L6-L7-L8</f>
        <v>0</v>
      </c>
    </row>
    <row r="8" spans="1:15" ht="24" x14ac:dyDescent="0.25">
      <c r="A8" s="306"/>
      <c r="B8" s="307"/>
      <c r="C8" s="308"/>
      <c r="D8" s="308"/>
      <c r="E8" s="309"/>
      <c r="F8" s="309"/>
      <c r="G8" s="378"/>
      <c r="H8" s="310"/>
      <c r="I8" s="310"/>
      <c r="J8" s="307" t="s">
        <v>108</v>
      </c>
      <c r="K8" s="339">
        <v>2212696.63</v>
      </c>
      <c r="L8" s="340">
        <v>5091362.88</v>
      </c>
      <c r="M8" s="341">
        <v>0.85</v>
      </c>
      <c r="N8" s="287"/>
      <c r="O8" s="287"/>
    </row>
    <row r="9" spans="1:15" ht="192" x14ac:dyDescent="0.25">
      <c r="A9" s="298" t="s">
        <v>517</v>
      </c>
      <c r="B9" s="299" t="s">
        <v>109</v>
      </c>
      <c r="C9" s="300">
        <f>+'[1]Detailed distribution'!O5</f>
        <v>132</v>
      </c>
      <c r="D9" s="300">
        <f>+'[1]Detailed distribution'!AB5</f>
        <v>385</v>
      </c>
      <c r="E9" s="302" t="s">
        <v>518</v>
      </c>
      <c r="F9" s="302" t="s">
        <v>110</v>
      </c>
      <c r="G9" s="377" t="s">
        <v>538</v>
      </c>
      <c r="H9" s="301" t="s">
        <v>546</v>
      </c>
      <c r="I9" s="301" t="s">
        <v>547</v>
      </c>
      <c r="J9" s="314">
        <v>142</v>
      </c>
      <c r="K9" s="315">
        <v>6214930.3099999996</v>
      </c>
      <c r="L9" s="316">
        <v>14733754.119999999</v>
      </c>
      <c r="M9" s="305"/>
      <c r="N9" s="287"/>
      <c r="O9" s="287"/>
    </row>
    <row r="10" spans="1:15" ht="12" x14ac:dyDescent="0.25">
      <c r="A10" s="306"/>
      <c r="B10" s="307"/>
      <c r="C10" s="308"/>
      <c r="D10" s="308"/>
      <c r="E10" s="309"/>
      <c r="F10" s="309"/>
      <c r="G10" s="378"/>
      <c r="H10" s="310"/>
      <c r="I10" s="310"/>
      <c r="J10" s="307" t="s">
        <v>111</v>
      </c>
      <c r="K10" s="339">
        <v>878879.03</v>
      </c>
      <c r="L10" s="340">
        <v>2455625.69</v>
      </c>
      <c r="M10" s="341">
        <v>0.7</v>
      </c>
      <c r="N10" s="287"/>
      <c r="O10" s="287"/>
    </row>
    <row r="11" spans="1:15" ht="24" x14ac:dyDescent="0.25">
      <c r="A11" s="306"/>
      <c r="B11" s="307"/>
      <c r="C11" s="308"/>
      <c r="D11" s="308"/>
      <c r="E11" s="309"/>
      <c r="F11" s="309"/>
      <c r="G11" s="378"/>
      <c r="H11" s="310"/>
      <c r="I11" s="310"/>
      <c r="J11" s="307" t="s">
        <v>112</v>
      </c>
      <c r="K11" s="339">
        <v>5336051.28</v>
      </c>
      <c r="L11" s="340">
        <v>12278128.43</v>
      </c>
      <c r="M11" s="341">
        <v>0.85</v>
      </c>
      <c r="N11" s="287"/>
      <c r="O11" s="287"/>
    </row>
    <row r="12" spans="1:15" ht="204" x14ac:dyDescent="0.25">
      <c r="A12" s="319" t="s">
        <v>520</v>
      </c>
      <c r="B12" s="299" t="s">
        <v>113</v>
      </c>
      <c r="C12" s="317">
        <f>+'[1]Detailed distribution'!O6</f>
        <v>36</v>
      </c>
      <c r="D12" s="317">
        <f>+'[1]Detailed distribution'!AB6</f>
        <v>108</v>
      </c>
      <c r="E12" s="301" t="s">
        <v>521</v>
      </c>
      <c r="F12" s="324" t="s">
        <v>548</v>
      </c>
      <c r="G12" s="377" t="s">
        <v>538</v>
      </c>
      <c r="H12" s="301" t="s">
        <v>549</v>
      </c>
      <c r="I12" s="301" t="s">
        <v>114</v>
      </c>
      <c r="J12" s="330">
        <v>142</v>
      </c>
      <c r="K12" s="342">
        <v>1791493.89</v>
      </c>
      <c r="L12" s="330">
        <v>4247100</v>
      </c>
      <c r="M12" s="331"/>
      <c r="N12" s="287"/>
      <c r="O12" s="287"/>
    </row>
    <row r="13" spans="1:15" ht="12" x14ac:dyDescent="0.25">
      <c r="A13" s="306"/>
      <c r="B13" s="307"/>
      <c r="C13" s="308"/>
      <c r="D13" s="308"/>
      <c r="E13" s="309"/>
      <c r="F13" s="309"/>
      <c r="G13" s="378"/>
      <c r="H13" s="310"/>
      <c r="I13" s="310"/>
      <c r="J13" s="307" t="s">
        <v>115</v>
      </c>
      <c r="K13" s="339">
        <v>253342.57</v>
      </c>
      <c r="L13" s="340">
        <v>707850</v>
      </c>
      <c r="M13" s="341">
        <v>0.7</v>
      </c>
      <c r="N13" s="287"/>
      <c r="O13" s="287">
        <f>+L12-L13-L14</f>
        <v>0</v>
      </c>
    </row>
    <row r="14" spans="1:15" ht="24" x14ac:dyDescent="0.25">
      <c r="A14" s="306"/>
      <c r="B14" s="307"/>
      <c r="C14" s="308"/>
      <c r="D14" s="308"/>
      <c r="E14" s="309"/>
      <c r="F14" s="309"/>
      <c r="G14" s="378"/>
      <c r="H14" s="310"/>
      <c r="I14" s="310"/>
      <c r="J14" s="307" t="s">
        <v>116</v>
      </c>
      <c r="K14" s="339">
        <v>1538151.32</v>
      </c>
      <c r="L14" s="340">
        <v>3539250</v>
      </c>
      <c r="M14" s="341">
        <v>0.85</v>
      </c>
      <c r="N14" s="287"/>
      <c r="O14" s="287"/>
    </row>
    <row r="15" spans="1:15" ht="156" x14ac:dyDescent="0.25">
      <c r="A15" s="332" t="s">
        <v>522</v>
      </c>
      <c r="B15" s="299" t="s">
        <v>117</v>
      </c>
      <c r="C15" s="300">
        <f>+'[1]Detailed distribution'!O7</f>
        <v>403</v>
      </c>
      <c r="D15" s="300">
        <f>+'[1]Detailed distribution'!AB7</f>
        <v>403</v>
      </c>
      <c r="E15" s="301" t="s">
        <v>523</v>
      </c>
      <c r="F15" s="301" t="s">
        <v>118</v>
      </c>
      <c r="G15" s="377" t="s">
        <v>542</v>
      </c>
      <c r="H15" s="303" t="s">
        <v>119</v>
      </c>
      <c r="I15" s="301" t="s">
        <v>550</v>
      </c>
      <c r="J15" s="304">
        <v>141</v>
      </c>
      <c r="K15" s="315">
        <v>12639071.16</v>
      </c>
      <c r="L15" s="316">
        <v>29963484.309999999</v>
      </c>
      <c r="M15" s="305"/>
      <c r="N15" s="287"/>
      <c r="O15" s="287"/>
    </row>
    <row r="16" spans="1:15" ht="12" x14ac:dyDescent="0.25">
      <c r="A16" s="306"/>
      <c r="B16" s="307"/>
      <c r="C16" s="308"/>
      <c r="D16" s="308"/>
      <c r="E16" s="309"/>
      <c r="F16" s="309"/>
      <c r="G16" s="378"/>
      <c r="H16" s="310"/>
      <c r="I16" s="310"/>
      <c r="J16" s="307" t="s">
        <v>120</v>
      </c>
      <c r="K16" s="339">
        <v>1787343.4</v>
      </c>
      <c r="L16" s="340">
        <v>4993914.05</v>
      </c>
      <c r="M16" s="341">
        <v>0.7</v>
      </c>
      <c r="N16" s="287"/>
      <c r="O16" s="287">
        <f>+L15-L16-L17</f>
        <v>0</v>
      </c>
    </row>
    <row r="17" spans="1:15" ht="24" x14ac:dyDescent="0.25">
      <c r="A17" s="306"/>
      <c r="B17" s="307"/>
      <c r="C17" s="308"/>
      <c r="D17" s="308"/>
      <c r="E17" s="309"/>
      <c r="F17" s="309"/>
      <c r="G17" s="378"/>
      <c r="H17" s="310"/>
      <c r="I17" s="310"/>
      <c r="J17" s="307" t="s">
        <v>121</v>
      </c>
      <c r="K17" s="339">
        <v>10851727.76</v>
      </c>
      <c r="L17" s="340">
        <v>24969570.260000002</v>
      </c>
      <c r="M17" s="341">
        <v>0.85</v>
      </c>
      <c r="N17" s="287"/>
      <c r="O17" s="287"/>
    </row>
    <row r="18" spans="1:15" ht="204" x14ac:dyDescent="0.25">
      <c r="A18" s="333" t="s">
        <v>524</v>
      </c>
      <c r="B18" s="299" t="s">
        <v>122</v>
      </c>
      <c r="C18" s="317">
        <f>+'[1]Detailed distribution'!O8</f>
        <v>8477</v>
      </c>
      <c r="D18" s="317">
        <f>+'[1]Detailed distribution'!AB8</f>
        <v>24911</v>
      </c>
      <c r="E18" s="301" t="s">
        <v>525</v>
      </c>
      <c r="F18" s="302" t="s">
        <v>123</v>
      </c>
      <c r="G18" s="377" t="s">
        <v>542</v>
      </c>
      <c r="H18" s="322" t="s">
        <v>551</v>
      </c>
      <c r="I18" s="303" t="s">
        <v>552</v>
      </c>
      <c r="J18" s="304">
        <v>143</v>
      </c>
      <c r="K18" s="315">
        <v>7798659.3499999996</v>
      </c>
      <c r="L18" s="316">
        <v>18488305.34</v>
      </c>
      <c r="M18" s="305"/>
      <c r="N18" s="287"/>
      <c r="O18" s="287"/>
    </row>
    <row r="19" spans="1:15" ht="12" x14ac:dyDescent="0.25">
      <c r="A19" s="306"/>
      <c r="B19" s="307"/>
      <c r="C19" s="308"/>
      <c r="D19" s="308"/>
      <c r="E19" s="309"/>
      <c r="F19" s="309"/>
      <c r="G19" s="378"/>
      <c r="H19" s="310"/>
      <c r="I19" s="310"/>
      <c r="J19" s="307" t="s">
        <v>124</v>
      </c>
      <c r="K19" s="339">
        <v>1102840.72</v>
      </c>
      <c r="L19" s="340">
        <v>3081384.22</v>
      </c>
      <c r="M19" s="341">
        <v>0.7</v>
      </c>
      <c r="N19" s="287"/>
      <c r="O19" s="287">
        <f>+L18-L19-L20</f>
        <v>0</v>
      </c>
    </row>
    <row r="20" spans="1:15" ht="24" x14ac:dyDescent="0.25">
      <c r="A20" s="306"/>
      <c r="B20" s="307"/>
      <c r="C20" s="308"/>
      <c r="D20" s="308"/>
      <c r="E20" s="309"/>
      <c r="F20" s="309"/>
      <c r="G20" s="378"/>
      <c r="H20" s="310"/>
      <c r="I20" s="310"/>
      <c r="J20" s="307" t="s">
        <v>125</v>
      </c>
      <c r="K20" s="339">
        <v>6695818.6299999999</v>
      </c>
      <c r="L20" s="340">
        <v>15406921.119999999</v>
      </c>
      <c r="M20" s="341">
        <v>0.85</v>
      </c>
      <c r="N20" s="287"/>
      <c r="O20" s="287"/>
    </row>
    <row r="21" spans="1:15" ht="204" x14ac:dyDescent="0.25">
      <c r="A21" s="298" t="s">
        <v>526</v>
      </c>
      <c r="B21" s="299" t="s">
        <v>126</v>
      </c>
      <c r="C21" s="317">
        <f>+'[1]Detailed distribution'!O9</f>
        <v>85</v>
      </c>
      <c r="D21" s="317">
        <f>+'[1]Detailed distribution'!AB9</f>
        <v>87</v>
      </c>
      <c r="E21" s="301" t="s">
        <v>527</v>
      </c>
      <c r="F21" s="324" t="s">
        <v>127</v>
      </c>
      <c r="G21" s="377" t="s">
        <v>542</v>
      </c>
      <c r="H21" s="322" t="s">
        <v>128</v>
      </c>
      <c r="I21" s="303" t="s">
        <v>552</v>
      </c>
      <c r="J21" s="304">
        <v>143</v>
      </c>
      <c r="K21" s="315">
        <v>6514387.8099999996</v>
      </c>
      <c r="L21" s="316">
        <v>15443678.91</v>
      </c>
      <c r="M21" s="305"/>
      <c r="N21" s="287"/>
      <c r="O21" s="287"/>
    </row>
    <row r="22" spans="1:15" ht="12" x14ac:dyDescent="0.25">
      <c r="A22" s="306"/>
      <c r="B22" s="307"/>
      <c r="C22" s="308"/>
      <c r="D22" s="308"/>
      <c r="E22" s="309"/>
      <c r="F22" s="309"/>
      <c r="G22" s="378"/>
      <c r="H22" s="310"/>
      <c r="I22" s="310"/>
      <c r="J22" s="307" t="s">
        <v>129</v>
      </c>
      <c r="K22" s="339">
        <v>921226.56</v>
      </c>
      <c r="L22" s="340">
        <v>2573946.4900000002</v>
      </c>
      <c r="M22" s="341">
        <v>0.7</v>
      </c>
      <c r="N22" s="287"/>
      <c r="O22" s="287">
        <f>+L21-L22-L23</f>
        <v>0</v>
      </c>
    </row>
    <row r="23" spans="1:15" ht="24" x14ac:dyDescent="0.25">
      <c r="A23" s="306"/>
      <c r="B23" s="307"/>
      <c r="C23" s="308"/>
      <c r="D23" s="308"/>
      <c r="E23" s="309"/>
      <c r="F23" s="309"/>
      <c r="G23" s="378"/>
      <c r="H23" s="310"/>
      <c r="I23" s="310"/>
      <c r="J23" s="307" t="s">
        <v>130</v>
      </c>
      <c r="K23" s="339">
        <v>5593161.25</v>
      </c>
      <c r="L23" s="340">
        <v>12869732.42</v>
      </c>
      <c r="M23" s="341">
        <v>0.85</v>
      </c>
      <c r="N23" s="287"/>
      <c r="O23" s="287"/>
    </row>
    <row r="24" spans="1:15" ht="120" customHeight="1" x14ac:dyDescent="0.25">
      <c r="A24" s="298" t="s">
        <v>131</v>
      </c>
      <c r="B24" s="299" t="s">
        <v>132</v>
      </c>
      <c r="C24" s="317">
        <f>+'[1]Detailed distribution'!O10</f>
        <v>300</v>
      </c>
      <c r="D24" s="317">
        <f>+'[1]Detailed distribution'!AB10</f>
        <v>300</v>
      </c>
      <c r="E24" s="334" t="s">
        <v>528</v>
      </c>
      <c r="F24" s="335" t="s">
        <v>133</v>
      </c>
      <c r="G24" s="377" t="s">
        <v>542</v>
      </c>
      <c r="H24" s="303" t="s">
        <v>134</v>
      </c>
      <c r="I24" s="301" t="s">
        <v>135</v>
      </c>
      <c r="J24" s="304">
        <v>143</v>
      </c>
      <c r="K24" s="315">
        <v>1207617.75</v>
      </c>
      <c r="L24" s="304">
        <v>2862903.05</v>
      </c>
      <c r="M24" s="305"/>
      <c r="N24" s="287"/>
      <c r="O24" s="287"/>
    </row>
    <row r="25" spans="1:15" ht="12" x14ac:dyDescent="0.25">
      <c r="A25" s="306"/>
      <c r="B25" s="307"/>
      <c r="C25" s="308"/>
      <c r="D25" s="308"/>
      <c r="E25" s="309"/>
      <c r="F25" s="309"/>
      <c r="G25" s="378"/>
      <c r="H25" s="310"/>
      <c r="I25" s="310"/>
      <c r="J25" s="307" t="s">
        <v>136</v>
      </c>
      <c r="K25" s="339">
        <v>170774.23</v>
      </c>
      <c r="L25" s="340">
        <v>477150.51</v>
      </c>
      <c r="M25" s="341">
        <v>0.7</v>
      </c>
      <c r="N25" s="287"/>
      <c r="O25" s="287">
        <f>+L24-L25-L26</f>
        <v>0</v>
      </c>
    </row>
    <row r="26" spans="1:15" ht="24" x14ac:dyDescent="0.25">
      <c r="A26" s="306"/>
      <c r="B26" s="307"/>
      <c r="C26" s="308"/>
      <c r="D26" s="308"/>
      <c r="E26" s="309"/>
      <c r="F26" s="309"/>
      <c r="G26" s="378"/>
      <c r="H26" s="310"/>
      <c r="I26" s="310"/>
      <c r="J26" s="307" t="s">
        <v>137</v>
      </c>
      <c r="K26" s="339">
        <v>1036843.52</v>
      </c>
      <c r="L26" s="340">
        <v>2385752.54</v>
      </c>
      <c r="M26" s="341">
        <v>0.85</v>
      </c>
      <c r="N26" s="287"/>
      <c r="O26" s="287"/>
    </row>
    <row r="27" spans="1:15" ht="48" x14ac:dyDescent="0.25">
      <c r="A27" s="424" t="s">
        <v>138</v>
      </c>
      <c r="B27" s="427" t="s">
        <v>139</v>
      </c>
      <c r="C27" s="428">
        <f>+'[1]Detailed distribution'!O11</f>
        <v>100</v>
      </c>
      <c r="D27" s="428">
        <f>+'[1]Detailed distribution'!AB11</f>
        <v>290</v>
      </c>
      <c r="E27" s="425" t="s">
        <v>529</v>
      </c>
      <c r="F27" s="426" t="s">
        <v>140</v>
      </c>
      <c r="G27" s="423" t="s">
        <v>539</v>
      </c>
      <c r="H27" s="324" t="s">
        <v>553</v>
      </c>
      <c r="I27" s="301" t="s">
        <v>555</v>
      </c>
      <c r="J27" s="304">
        <v>142</v>
      </c>
      <c r="K27" s="315">
        <v>4307516.32</v>
      </c>
      <c r="L27" s="316">
        <v>10211842</v>
      </c>
      <c r="M27" s="305"/>
      <c r="N27" s="287"/>
      <c r="O27" s="287"/>
    </row>
    <row r="28" spans="1:15" ht="144.75" customHeight="1" x14ac:dyDescent="0.25">
      <c r="A28" s="424"/>
      <c r="B28" s="427"/>
      <c r="C28" s="428"/>
      <c r="D28" s="428"/>
      <c r="E28" s="425"/>
      <c r="F28" s="426"/>
      <c r="G28" s="423"/>
      <c r="H28" s="336" t="s">
        <v>554</v>
      </c>
      <c r="I28" s="303" t="s">
        <v>141</v>
      </c>
      <c r="J28" s="304">
        <v>143</v>
      </c>
      <c r="K28" s="315">
        <v>4218158.0199999996</v>
      </c>
      <c r="L28" s="316">
        <v>10000000</v>
      </c>
      <c r="M28" s="305"/>
      <c r="N28" s="287"/>
      <c r="O28" s="287"/>
    </row>
    <row r="29" spans="1:15" ht="12" x14ac:dyDescent="0.25">
      <c r="A29" s="306"/>
      <c r="B29" s="307"/>
      <c r="C29" s="308"/>
      <c r="D29" s="308"/>
      <c r="E29" s="309"/>
      <c r="F29" s="309"/>
      <c r="G29" s="378"/>
      <c r="H29" s="310"/>
      <c r="I29" s="343">
        <v>142</v>
      </c>
      <c r="J29" s="307" t="s">
        <v>142</v>
      </c>
      <c r="K29" s="339">
        <v>609143.72</v>
      </c>
      <c r="L29" s="340">
        <v>1701973.67</v>
      </c>
      <c r="M29" s="341">
        <v>0.7</v>
      </c>
      <c r="N29" s="287"/>
      <c r="O29" s="287">
        <f>+L27+L28-L29-L30-L31-L32</f>
        <v>0</v>
      </c>
    </row>
    <row r="30" spans="1:15" ht="24" x14ac:dyDescent="0.25">
      <c r="A30" s="306"/>
      <c r="B30" s="307"/>
      <c r="C30" s="308"/>
      <c r="D30" s="308"/>
      <c r="E30" s="309"/>
      <c r="F30" s="309"/>
      <c r="G30" s="378"/>
      <c r="H30" s="310"/>
      <c r="I30" s="343">
        <v>142</v>
      </c>
      <c r="J30" s="307" t="s">
        <v>143</v>
      </c>
      <c r="K30" s="339">
        <v>3698372.6</v>
      </c>
      <c r="L30" s="340">
        <v>8509868.3300000001</v>
      </c>
      <c r="M30" s="341">
        <v>0.85</v>
      </c>
      <c r="N30" s="287"/>
      <c r="O30" s="287"/>
    </row>
    <row r="31" spans="1:15" ht="12" x14ac:dyDescent="0.25">
      <c r="A31" s="306"/>
      <c r="B31" s="307"/>
      <c r="C31" s="308"/>
      <c r="D31" s="308"/>
      <c r="E31" s="309"/>
      <c r="F31" s="309"/>
      <c r="G31" s="378"/>
      <c r="H31" s="310"/>
      <c r="I31" s="343">
        <v>143</v>
      </c>
      <c r="J31" s="307" t="s">
        <v>144</v>
      </c>
      <c r="K31" s="339">
        <v>596507.18999999994</v>
      </c>
      <c r="L31" s="340">
        <v>1666666.67</v>
      </c>
      <c r="M31" s="341">
        <v>0.7</v>
      </c>
      <c r="N31" s="287"/>
      <c r="O31" s="287"/>
    </row>
    <row r="32" spans="1:15" ht="24" x14ac:dyDescent="0.25">
      <c r="A32" s="306"/>
      <c r="B32" s="307"/>
      <c r="C32" s="308"/>
      <c r="D32" s="308"/>
      <c r="E32" s="309"/>
      <c r="F32" s="309"/>
      <c r="G32" s="378"/>
      <c r="H32" s="310"/>
      <c r="I32" s="343">
        <v>143</v>
      </c>
      <c r="J32" s="307" t="s">
        <v>145</v>
      </c>
      <c r="K32" s="339">
        <v>3621650.83</v>
      </c>
      <c r="L32" s="340">
        <v>8333333.3300000001</v>
      </c>
      <c r="M32" s="341">
        <v>0.85</v>
      </c>
      <c r="N32" s="287"/>
      <c r="O32" s="287"/>
    </row>
    <row r="33" spans="1:15" ht="84" x14ac:dyDescent="0.25">
      <c r="A33" s="298" t="s">
        <v>146</v>
      </c>
      <c r="B33" s="299" t="s">
        <v>147</v>
      </c>
      <c r="C33" s="300">
        <f>+'[1]Detailed distribution'!O12</f>
        <v>493</v>
      </c>
      <c r="D33" s="300">
        <f>+'[1]Detailed distribution'!AB12</f>
        <v>1719</v>
      </c>
      <c r="E33" s="303" t="s">
        <v>530</v>
      </c>
      <c r="F33" s="302" t="s">
        <v>148</v>
      </c>
      <c r="G33" s="299" t="s">
        <v>540</v>
      </c>
      <c r="H33" s="322" t="s">
        <v>556</v>
      </c>
      <c r="I33" s="301" t="s">
        <v>557</v>
      </c>
      <c r="J33" s="304">
        <v>141</v>
      </c>
      <c r="K33" s="315">
        <v>12879106.27</v>
      </c>
      <c r="L33" s="316">
        <v>30532536.27</v>
      </c>
      <c r="M33" s="305"/>
      <c r="N33" s="287"/>
      <c r="O33" s="287"/>
    </row>
    <row r="34" spans="1:15" ht="12" x14ac:dyDescent="0.25">
      <c r="A34" s="306"/>
      <c r="B34" s="307"/>
      <c r="C34" s="308"/>
      <c r="D34" s="308"/>
      <c r="E34" s="309"/>
      <c r="F34" s="309"/>
      <c r="G34" s="378"/>
      <c r="H34" s="310"/>
      <c r="I34" s="310"/>
      <c r="J34" s="307" t="s">
        <v>149</v>
      </c>
      <c r="K34" s="339">
        <v>1821287.75</v>
      </c>
      <c r="L34" s="340">
        <v>5088756.05</v>
      </c>
      <c r="M34" s="341">
        <v>0.7</v>
      </c>
      <c r="N34" s="287"/>
      <c r="O34" s="287">
        <f>+L33-L34-L35</f>
        <v>0</v>
      </c>
    </row>
    <row r="35" spans="1:15" ht="24" x14ac:dyDescent="0.25">
      <c r="A35" s="306"/>
      <c r="B35" s="307"/>
      <c r="C35" s="308"/>
      <c r="D35" s="308"/>
      <c r="E35" s="309"/>
      <c r="F35" s="309"/>
      <c r="G35" s="378"/>
      <c r="H35" s="310"/>
      <c r="I35" s="310"/>
      <c r="J35" s="307" t="s">
        <v>150</v>
      </c>
      <c r="K35" s="339">
        <v>11057818.52</v>
      </c>
      <c r="L35" s="340">
        <v>25443780.219999999</v>
      </c>
      <c r="M35" s="341">
        <v>0.85</v>
      </c>
      <c r="N35" s="287"/>
      <c r="O35" s="287"/>
    </row>
    <row r="36" spans="1:15" ht="84" x14ac:dyDescent="0.25">
      <c r="A36" s="298" t="s">
        <v>151</v>
      </c>
      <c r="B36" s="299" t="s">
        <v>152</v>
      </c>
      <c r="C36" s="317">
        <f>+'[1]Detailed distribution'!O13</f>
        <v>25</v>
      </c>
      <c r="D36" s="317">
        <f>+'[1]Detailed distribution'!AB13</f>
        <v>75</v>
      </c>
      <c r="E36" s="303" t="s">
        <v>531</v>
      </c>
      <c r="F36" s="335" t="s">
        <v>153</v>
      </c>
      <c r="G36" s="299" t="s">
        <v>540</v>
      </c>
      <c r="H36" s="303" t="s">
        <v>154</v>
      </c>
      <c r="I36" s="301" t="s">
        <v>558</v>
      </c>
      <c r="J36" s="304">
        <v>141</v>
      </c>
      <c r="K36" s="316">
        <v>6365786.5899999999</v>
      </c>
      <c r="L36" s="304">
        <v>15091389.57</v>
      </c>
      <c r="M36" s="305"/>
      <c r="N36" s="287"/>
      <c r="O36" s="287"/>
    </row>
    <row r="37" spans="1:15" ht="12" x14ac:dyDescent="0.25">
      <c r="A37" s="306"/>
      <c r="B37" s="307"/>
      <c r="C37" s="308"/>
      <c r="D37" s="308"/>
      <c r="E37" s="309"/>
      <c r="F37" s="309"/>
      <c r="G37" s="378"/>
      <c r="H37" s="310"/>
      <c r="I37" s="310"/>
      <c r="J37" s="307" t="s">
        <v>155</v>
      </c>
      <c r="K37" s="339">
        <v>900212.24</v>
      </c>
      <c r="L37" s="340">
        <v>2515231.6</v>
      </c>
      <c r="M37" s="341">
        <v>0.7</v>
      </c>
      <c r="N37" s="287"/>
      <c r="O37" s="287">
        <f>+L36-L37-L38</f>
        <v>0</v>
      </c>
    </row>
    <row r="38" spans="1:15" ht="24" x14ac:dyDescent="0.25">
      <c r="A38" s="306"/>
      <c r="B38" s="307"/>
      <c r="C38" s="308"/>
      <c r="D38" s="308"/>
      <c r="E38" s="309"/>
      <c r="F38" s="309"/>
      <c r="G38" s="378"/>
      <c r="H38" s="310"/>
      <c r="I38" s="310"/>
      <c r="J38" s="307" t="s">
        <v>156</v>
      </c>
      <c r="K38" s="339">
        <v>5465574.3499999996</v>
      </c>
      <c r="L38" s="340">
        <v>12576157.970000001</v>
      </c>
      <c r="M38" s="341">
        <v>0.85</v>
      </c>
      <c r="N38" s="287"/>
      <c r="O38" s="287"/>
    </row>
    <row r="39" spans="1:15" ht="108" x14ac:dyDescent="0.25">
      <c r="A39" s="337" t="s">
        <v>533</v>
      </c>
      <c r="B39" s="299" t="s">
        <v>157</v>
      </c>
      <c r="C39" s="317">
        <f>+'[1]Detailed distribution'!O14</f>
        <v>87</v>
      </c>
      <c r="D39" s="338">
        <f>+'[1]Detailed distribution'!AB14</f>
        <v>90</v>
      </c>
      <c r="E39" s="303" t="s">
        <v>532</v>
      </c>
      <c r="F39" s="335" t="s">
        <v>158</v>
      </c>
      <c r="G39" s="299" t="s">
        <v>540</v>
      </c>
      <c r="H39" s="303" t="s">
        <v>159</v>
      </c>
      <c r="I39" s="303" t="s">
        <v>558</v>
      </c>
      <c r="J39" s="304">
        <v>141</v>
      </c>
      <c r="K39" s="315">
        <v>6365786.5899999999</v>
      </c>
      <c r="L39" s="304">
        <v>15091389.564999999</v>
      </c>
      <c r="M39" s="305"/>
      <c r="N39" s="287"/>
      <c r="O39" s="287"/>
    </row>
    <row r="40" spans="1:15" ht="12" x14ac:dyDescent="0.25">
      <c r="A40" s="306"/>
      <c r="B40" s="307"/>
      <c r="C40" s="308"/>
      <c r="D40" s="308"/>
      <c r="E40" s="309"/>
      <c r="F40" s="309"/>
      <c r="G40" s="378"/>
      <c r="H40" s="310"/>
      <c r="I40" s="310"/>
      <c r="J40" s="307" t="s">
        <v>160</v>
      </c>
      <c r="K40" s="311">
        <v>900212.25</v>
      </c>
      <c r="L40" s="312">
        <v>2515231.5941666667</v>
      </c>
      <c r="M40" s="313"/>
      <c r="N40" s="287"/>
      <c r="O40" s="287">
        <f>+L39-L40-L41</f>
        <v>0</v>
      </c>
    </row>
    <row r="41" spans="1:15" ht="24" x14ac:dyDescent="0.25">
      <c r="A41" s="306"/>
      <c r="B41" s="307"/>
      <c r="C41" s="308"/>
      <c r="D41" s="308"/>
      <c r="E41" s="309"/>
      <c r="F41" s="309"/>
      <c r="G41" s="378"/>
      <c r="H41" s="310"/>
      <c r="I41" s="310"/>
      <c r="J41" s="307" t="s">
        <v>161</v>
      </c>
      <c r="K41" s="311">
        <v>5465574.3399999999</v>
      </c>
      <c r="L41" s="312">
        <v>12576157.970833333</v>
      </c>
      <c r="M41" s="313"/>
      <c r="N41" s="287"/>
      <c r="O41" s="287"/>
    </row>
    <row r="42" spans="1:15" ht="84" x14ac:dyDescent="0.25">
      <c r="A42" s="298" t="s">
        <v>162</v>
      </c>
      <c r="B42" s="299" t="s">
        <v>163</v>
      </c>
      <c r="C42" s="317">
        <f>+'[1]Detailed distribution'!O15</f>
        <v>90</v>
      </c>
      <c r="D42" s="317">
        <f>+'[1]Detailed distribution'!AB15</f>
        <v>70</v>
      </c>
      <c r="E42" s="303" t="s">
        <v>534</v>
      </c>
      <c r="F42" s="335" t="s">
        <v>164</v>
      </c>
      <c r="G42" s="299" t="s">
        <v>540</v>
      </c>
      <c r="H42" s="303" t="s">
        <v>165</v>
      </c>
      <c r="I42" s="303" t="s">
        <v>166</v>
      </c>
      <c r="J42" s="304">
        <v>141</v>
      </c>
      <c r="K42" s="315">
        <v>8436209.4100000001</v>
      </c>
      <c r="L42" s="304">
        <v>19999747.212499999</v>
      </c>
      <c r="M42" s="305"/>
      <c r="N42" s="287"/>
      <c r="O42" s="287"/>
    </row>
    <row r="43" spans="1:15" ht="12" x14ac:dyDescent="0.25">
      <c r="A43" s="306"/>
      <c r="B43" s="307"/>
      <c r="C43" s="308"/>
      <c r="D43" s="308"/>
      <c r="E43" s="309"/>
      <c r="F43" s="309"/>
      <c r="G43" s="378"/>
      <c r="H43" s="310"/>
      <c r="I43" s="310"/>
      <c r="J43" s="307" t="s">
        <v>167</v>
      </c>
      <c r="K43" s="311">
        <v>1192999.31</v>
      </c>
      <c r="L43" s="312">
        <v>3333291.2020833329</v>
      </c>
      <c r="M43" s="313"/>
      <c r="N43" s="287"/>
      <c r="O43" s="287">
        <f>+L42-L43-L44</f>
        <v>0</v>
      </c>
    </row>
    <row r="44" spans="1:15" ht="24" x14ac:dyDescent="0.25">
      <c r="A44" s="306"/>
      <c r="B44" s="307"/>
      <c r="C44" s="308"/>
      <c r="D44" s="308"/>
      <c r="E44" s="309"/>
      <c r="F44" s="309"/>
      <c r="G44" s="378"/>
      <c r="H44" s="310"/>
      <c r="I44" s="310"/>
      <c r="J44" s="307" t="s">
        <v>168</v>
      </c>
      <c r="K44" s="311">
        <v>7243210.0999999996</v>
      </c>
      <c r="L44" s="312">
        <v>16666456.010416664</v>
      </c>
      <c r="M44" s="313"/>
      <c r="N44" s="287"/>
      <c r="O44" s="287"/>
    </row>
    <row r="45" spans="1:15" ht="98.25" customHeight="1" x14ac:dyDescent="0.25">
      <c r="A45" s="298" t="s">
        <v>169</v>
      </c>
      <c r="B45" s="299" t="s">
        <v>170</v>
      </c>
      <c r="C45" s="317">
        <f>+'[1]Detailed distribution'!O16</f>
        <v>334</v>
      </c>
      <c r="D45" s="317">
        <f>+'[1]Detailed distribution'!AB16</f>
        <v>2278</v>
      </c>
      <c r="E45" s="303" t="s">
        <v>171</v>
      </c>
      <c r="F45" s="318" t="s">
        <v>172</v>
      </c>
      <c r="G45" s="299" t="s">
        <v>541</v>
      </c>
      <c r="H45" s="301" t="s">
        <v>173</v>
      </c>
      <c r="I45" s="301" t="s">
        <v>174</v>
      </c>
      <c r="J45" s="304">
        <v>140</v>
      </c>
      <c r="K45" s="316">
        <v>3609588.79</v>
      </c>
      <c r="L45" s="316">
        <v>8523641.5</v>
      </c>
      <c r="M45" s="305"/>
      <c r="N45" s="287"/>
      <c r="O45" s="287"/>
    </row>
    <row r="46" spans="1:15" ht="12" x14ac:dyDescent="0.25">
      <c r="A46" s="306"/>
      <c r="B46" s="307"/>
      <c r="C46" s="308"/>
      <c r="D46" s="308"/>
      <c r="E46" s="309"/>
      <c r="F46" s="309"/>
      <c r="G46" s="378"/>
      <c r="H46" s="310"/>
      <c r="I46" s="310"/>
      <c r="J46" s="307" t="s">
        <v>175</v>
      </c>
      <c r="K46" s="339">
        <v>442258.15</v>
      </c>
      <c r="L46" s="340">
        <v>1235688.23</v>
      </c>
      <c r="M46" s="341">
        <v>0.7</v>
      </c>
      <c r="N46" s="287"/>
      <c r="O46" s="287">
        <f>+L45-L46-L47</f>
        <v>0</v>
      </c>
    </row>
    <row r="47" spans="1:15" ht="24" customHeight="1" x14ac:dyDescent="0.25">
      <c r="A47" s="306"/>
      <c r="B47" s="307"/>
      <c r="C47" s="308"/>
      <c r="D47" s="308"/>
      <c r="E47" s="309"/>
      <c r="F47" s="309"/>
      <c r="G47" s="378"/>
      <c r="H47" s="310"/>
      <c r="I47" s="310"/>
      <c r="J47" s="307" t="s">
        <v>176</v>
      </c>
      <c r="K47" s="339">
        <v>3167330.64</v>
      </c>
      <c r="L47" s="340">
        <v>7287953.2699999996</v>
      </c>
      <c r="M47" s="341">
        <v>0.85</v>
      </c>
      <c r="N47" s="287"/>
      <c r="O47" s="287"/>
    </row>
    <row r="48" spans="1:15" ht="192" x14ac:dyDescent="0.25">
      <c r="A48" s="298" t="s">
        <v>177</v>
      </c>
      <c r="B48" s="299" t="s">
        <v>178</v>
      </c>
      <c r="C48" s="317">
        <f>+'[1]Detailed distribution'!O17</f>
        <v>61</v>
      </c>
      <c r="D48" s="317">
        <f>+'[1]Detailed distribution'!AB17</f>
        <v>452</v>
      </c>
      <c r="E48" s="303" t="s">
        <v>179</v>
      </c>
      <c r="F48" s="302" t="s">
        <v>180</v>
      </c>
      <c r="G48" s="379" t="s">
        <v>539</v>
      </c>
      <c r="H48" s="301" t="s">
        <v>559</v>
      </c>
      <c r="I48" s="301" t="s">
        <v>181</v>
      </c>
      <c r="J48" s="304">
        <v>140</v>
      </c>
      <c r="K48" s="316">
        <v>1494090.17</v>
      </c>
      <c r="L48" s="316">
        <v>3530836.9000000004</v>
      </c>
      <c r="M48" s="305"/>
      <c r="N48" s="287"/>
      <c r="O48" s="287"/>
    </row>
    <row r="49" spans="1:15" ht="12" x14ac:dyDescent="0.25">
      <c r="A49" s="306"/>
      <c r="B49" s="307"/>
      <c r="C49" s="308"/>
      <c r="D49" s="308"/>
      <c r="E49" s="309"/>
      <c r="F49" s="309"/>
      <c r="G49" s="378"/>
      <c r="H49" s="310"/>
      <c r="I49" s="310"/>
      <c r="J49" s="307" t="s">
        <v>182</v>
      </c>
      <c r="K49" s="340">
        <v>188555.9</v>
      </c>
      <c r="L49" s="340">
        <v>526833.25</v>
      </c>
      <c r="M49" s="341">
        <v>0.7</v>
      </c>
      <c r="N49" s="287"/>
      <c r="O49" s="287">
        <f>+L48-L49-L50</f>
        <v>0</v>
      </c>
    </row>
    <row r="50" spans="1:15" ht="15.75" customHeight="1" x14ac:dyDescent="0.25">
      <c r="A50" s="306"/>
      <c r="B50" s="307"/>
      <c r="C50" s="308"/>
      <c r="D50" s="308"/>
      <c r="E50" s="309"/>
      <c r="F50" s="309"/>
      <c r="G50" s="378"/>
      <c r="H50" s="310"/>
      <c r="I50" s="310"/>
      <c r="J50" s="307" t="s">
        <v>183</v>
      </c>
      <c r="K50" s="340">
        <v>1305534.27</v>
      </c>
      <c r="L50" s="340">
        <v>3004003.65</v>
      </c>
      <c r="M50" s="341">
        <v>0.85</v>
      </c>
      <c r="N50" s="287"/>
      <c r="O50" s="287"/>
    </row>
    <row r="51" spans="1:15" ht="132" customHeight="1" x14ac:dyDescent="0.25">
      <c r="A51" s="319" t="s">
        <v>184</v>
      </c>
      <c r="B51" s="299" t="s">
        <v>185</v>
      </c>
      <c r="C51" s="320">
        <f>+'[1]Detailed distribution'!O18</f>
        <v>1000000</v>
      </c>
      <c r="D51" s="320">
        <f>+'[1]Detailed distribution'!AB18</f>
        <v>1000000</v>
      </c>
      <c r="E51" s="301" t="s">
        <v>186</v>
      </c>
      <c r="F51" s="321" t="s">
        <v>187</v>
      </c>
      <c r="G51" s="379" t="s">
        <v>539</v>
      </c>
      <c r="H51" s="301" t="s">
        <v>560</v>
      </c>
      <c r="I51" s="301" t="s">
        <v>188</v>
      </c>
      <c r="J51" s="304">
        <v>140</v>
      </c>
      <c r="K51" s="344">
        <v>3152437.58</v>
      </c>
      <c r="L51" s="344">
        <v>7438020.8399999999</v>
      </c>
      <c r="M51" s="305"/>
      <c r="N51" s="287"/>
      <c r="O51" s="287"/>
    </row>
    <row r="52" spans="1:15" ht="12" x14ac:dyDescent="0.25">
      <c r="A52" s="306"/>
      <c r="B52" s="307"/>
      <c r="C52" s="308"/>
      <c r="D52" s="308"/>
      <c r="E52" s="309"/>
      <c r="F52" s="309"/>
      <c r="G52" s="378"/>
      <c r="H52" s="310"/>
      <c r="I52" s="310"/>
      <c r="J52" s="307" t="s">
        <v>189</v>
      </c>
      <c r="K52" s="339">
        <v>373856.66</v>
      </c>
      <c r="L52" s="340">
        <v>1044571.54</v>
      </c>
      <c r="M52" s="341">
        <v>0.7</v>
      </c>
      <c r="N52" s="287"/>
      <c r="O52" s="287"/>
    </row>
    <row r="53" spans="1:15" ht="24" x14ac:dyDescent="0.25">
      <c r="A53" s="306"/>
      <c r="B53" s="307"/>
      <c r="C53" s="308"/>
      <c r="D53" s="308"/>
      <c r="E53" s="309"/>
      <c r="F53" s="309"/>
      <c r="G53" s="378"/>
      <c r="H53" s="310"/>
      <c r="I53" s="310"/>
      <c r="J53" s="307" t="s">
        <v>190</v>
      </c>
      <c r="K53" s="339">
        <v>2778580.91</v>
      </c>
      <c r="L53" s="340">
        <v>6393449.3099999996</v>
      </c>
      <c r="M53" s="341">
        <v>0.85</v>
      </c>
      <c r="N53" s="287"/>
      <c r="O53" s="287"/>
    </row>
    <row r="54" spans="1:15" ht="54" customHeight="1" x14ac:dyDescent="0.25">
      <c r="A54" s="319" t="s">
        <v>191</v>
      </c>
      <c r="B54" s="299" t="s">
        <v>192</v>
      </c>
      <c r="C54" s="320">
        <f>+'[1]Detailed distribution'!O19</f>
        <v>2160000</v>
      </c>
      <c r="D54" s="323">
        <f>+'[1]Detailed distribution'!AB19</f>
        <v>9072000</v>
      </c>
      <c r="E54" s="303" t="s">
        <v>535</v>
      </c>
      <c r="F54" s="324" t="s">
        <v>193</v>
      </c>
      <c r="G54" s="379" t="s">
        <v>539</v>
      </c>
      <c r="H54" s="301" t="s">
        <v>194</v>
      </c>
      <c r="I54" s="301" t="s">
        <v>195</v>
      </c>
      <c r="J54" s="304">
        <v>140</v>
      </c>
      <c r="K54" s="315">
        <v>3160233.59</v>
      </c>
      <c r="L54" s="316">
        <v>7463114.8300000001</v>
      </c>
      <c r="M54" s="305"/>
      <c r="N54" s="287"/>
      <c r="O54" s="287"/>
    </row>
    <row r="55" spans="1:15" ht="12" x14ac:dyDescent="0.25">
      <c r="A55" s="306"/>
      <c r="B55" s="307"/>
      <c r="C55" s="308"/>
      <c r="D55" s="308"/>
      <c r="E55" s="309"/>
      <c r="F55" s="309"/>
      <c r="G55" s="380"/>
      <c r="H55" s="310"/>
      <c r="I55" s="310"/>
      <c r="J55" s="307" t="s">
        <v>196</v>
      </c>
      <c r="K55" s="339">
        <v>388369</v>
      </c>
      <c r="L55" s="340">
        <v>1085119.6299999999</v>
      </c>
      <c r="M55" s="341">
        <v>0.7</v>
      </c>
      <c r="N55" s="287"/>
      <c r="O55" s="287">
        <f>+L54-L55-L56</f>
        <v>0</v>
      </c>
    </row>
    <row r="56" spans="1:15" ht="24" x14ac:dyDescent="0.25">
      <c r="A56" s="306"/>
      <c r="B56" s="307"/>
      <c r="C56" s="308"/>
      <c r="D56" s="308"/>
      <c r="E56" s="309"/>
      <c r="F56" s="309"/>
      <c r="G56" s="380"/>
      <c r="H56" s="310"/>
      <c r="I56" s="310"/>
      <c r="J56" s="307" t="s">
        <v>197</v>
      </c>
      <c r="K56" s="339">
        <v>2771864.59</v>
      </c>
      <c r="L56" s="340">
        <v>6377995.2000000002</v>
      </c>
      <c r="M56" s="341">
        <v>0.85</v>
      </c>
      <c r="N56" s="287"/>
      <c r="O56" s="287"/>
    </row>
    <row r="57" spans="1:15" ht="128.25" customHeight="1" x14ac:dyDescent="0.25">
      <c r="A57" s="298" t="s">
        <v>198</v>
      </c>
      <c r="B57" s="299" t="s">
        <v>199</v>
      </c>
      <c r="C57" s="317">
        <f>+'[1]Detailed distribution'!O20</f>
        <v>72</v>
      </c>
      <c r="D57" s="317">
        <f>+'[1]Detailed distribution'!AB20</f>
        <v>72</v>
      </c>
      <c r="E57" s="301" t="s">
        <v>200</v>
      </c>
      <c r="F57" s="324" t="s">
        <v>201</v>
      </c>
      <c r="G57" s="379" t="s">
        <v>539</v>
      </c>
      <c r="H57" s="301" t="s">
        <v>202</v>
      </c>
      <c r="I57" s="301" t="s">
        <v>203</v>
      </c>
      <c r="J57" s="304">
        <v>140</v>
      </c>
      <c r="K57" s="315">
        <v>3160233.59</v>
      </c>
      <c r="L57" s="316">
        <v>7463114.8300000001</v>
      </c>
      <c r="M57" s="305"/>
      <c r="N57" s="287"/>
      <c r="O57" s="287"/>
    </row>
    <row r="58" spans="1:15" ht="12" x14ac:dyDescent="0.25">
      <c r="A58" s="306"/>
      <c r="B58" s="307"/>
      <c r="C58" s="308"/>
      <c r="D58" s="308"/>
      <c r="E58" s="309"/>
      <c r="F58" s="309"/>
      <c r="G58" s="310"/>
      <c r="H58" s="310"/>
      <c r="I58" s="310"/>
      <c r="J58" s="307" t="s">
        <v>204</v>
      </c>
      <c r="K58" s="339">
        <v>388369</v>
      </c>
      <c r="L58" s="340">
        <v>1085119.6200000001</v>
      </c>
      <c r="M58" s="341">
        <v>0.7</v>
      </c>
      <c r="N58" s="287"/>
      <c r="O58" s="287">
        <f>+L57-L58-L59</f>
        <v>0</v>
      </c>
    </row>
    <row r="59" spans="1:15" ht="16.5" customHeight="1" thickBot="1" x14ac:dyDescent="0.3">
      <c r="A59" s="325"/>
      <c r="B59" s="326"/>
      <c r="C59" s="327"/>
      <c r="D59" s="327"/>
      <c r="E59" s="328"/>
      <c r="F59" s="328"/>
      <c r="G59" s="329"/>
      <c r="H59" s="329"/>
      <c r="I59" s="329"/>
      <c r="J59" s="307" t="s">
        <v>205</v>
      </c>
      <c r="K59" s="345">
        <v>2771864.59</v>
      </c>
      <c r="L59" s="346">
        <v>6377995.21</v>
      </c>
      <c r="M59" s="347">
        <v>0.85</v>
      </c>
    </row>
    <row r="60" spans="1:15" s="288" customFormat="1" ht="12" x14ac:dyDescent="0.2">
      <c r="A60" s="111"/>
      <c r="B60" s="111"/>
      <c r="C60" s="151"/>
      <c r="D60" s="151"/>
      <c r="E60" s="111"/>
      <c r="F60" s="111"/>
      <c r="G60" s="111"/>
      <c r="H60" s="111"/>
      <c r="I60" s="111"/>
      <c r="J60" s="111"/>
      <c r="K60" s="111"/>
      <c r="L60" s="111"/>
      <c r="M60" s="111"/>
    </row>
    <row r="61" spans="1:15" ht="12" x14ac:dyDescent="0.2">
      <c r="F61" s="111"/>
      <c r="J61" s="112"/>
    </row>
    <row r="62" spans="1:15" ht="12" x14ac:dyDescent="0.2">
      <c r="E62" s="140"/>
      <c r="F62" s="111"/>
      <c r="J62" s="112"/>
    </row>
    <row r="63" spans="1:15" ht="12" x14ac:dyDescent="0.2">
      <c r="F63" s="111"/>
      <c r="J63" s="112"/>
    </row>
    <row r="64" spans="1:15" ht="12" x14ac:dyDescent="0.2">
      <c r="F64" s="111"/>
      <c r="J64" s="112"/>
    </row>
    <row r="65" spans="6:14" ht="72" x14ac:dyDescent="0.2">
      <c r="F65" s="111"/>
      <c r="J65" s="147"/>
      <c r="K65" s="141" t="s">
        <v>206</v>
      </c>
      <c r="L65" s="132" t="s">
        <v>207</v>
      </c>
    </row>
    <row r="66" spans="6:14" ht="12" x14ac:dyDescent="0.2">
      <c r="F66" s="111"/>
      <c r="J66" s="147">
        <v>140</v>
      </c>
      <c r="K66" s="156">
        <f>+K48+K45+K51+K54+K57</f>
        <v>14576583.719999999</v>
      </c>
      <c r="L66" s="155">
        <f>+L48+L45+L51+L54+L57</f>
        <v>34418728.899999999</v>
      </c>
    </row>
    <row r="67" spans="6:14" ht="12" x14ac:dyDescent="0.2">
      <c r="F67" s="111"/>
      <c r="J67" s="147">
        <v>141</v>
      </c>
      <c r="K67" s="156">
        <f>+K15+K6+K33+K36+K39+K42</f>
        <v>49263100.799999997</v>
      </c>
      <c r="L67" s="155">
        <f>L15+L6+L33+L36+L39+L42</f>
        <v>116788182.3775</v>
      </c>
    </row>
    <row r="68" spans="6:14" ht="12" x14ac:dyDescent="0.2">
      <c r="F68" s="111"/>
      <c r="J68" s="147">
        <v>142</v>
      </c>
      <c r="K68" s="157">
        <f>+K3+K9+K12+K27</f>
        <v>16700992.550000001</v>
      </c>
      <c r="L68" s="158">
        <f>L3+L9+L12+L27</f>
        <v>39593093.659999996</v>
      </c>
    </row>
    <row r="69" spans="6:14" ht="12" x14ac:dyDescent="0.2">
      <c r="F69" s="111"/>
      <c r="J69" s="147">
        <v>143</v>
      </c>
      <c r="K69" s="156">
        <f>+K18+K24+K28+K21</f>
        <v>19738822.93</v>
      </c>
      <c r="L69" s="155">
        <f>L18+L24+L28+L21</f>
        <v>46794887.299999997</v>
      </c>
    </row>
    <row r="70" spans="6:14" ht="12" x14ac:dyDescent="0.2">
      <c r="F70" s="111"/>
      <c r="J70" s="159" t="s">
        <v>208</v>
      </c>
      <c r="K70" s="149">
        <f>SUM(K66:K69)</f>
        <v>100279500</v>
      </c>
      <c r="L70" s="148">
        <f>SUM(L66:L69)</f>
        <v>237594892.23750001</v>
      </c>
    </row>
    <row r="72" spans="6:14" ht="12" x14ac:dyDescent="0.2">
      <c r="J72" s="144"/>
    </row>
    <row r="74" spans="6:14" ht="12" x14ac:dyDescent="0.2">
      <c r="J74" s="154" t="s">
        <v>209</v>
      </c>
      <c r="K74" s="155">
        <f>+K49+K46+K52+K55+K58</f>
        <v>1781408.71</v>
      </c>
      <c r="L74" s="155">
        <f>+L49+L46+L52+L55+L58</f>
        <v>4977332.2699999996</v>
      </c>
      <c r="N74" s="289"/>
    </row>
    <row r="75" spans="6:14" ht="12" x14ac:dyDescent="0.2">
      <c r="J75" s="154" t="s">
        <v>210</v>
      </c>
      <c r="K75" s="155">
        <f>+K50+K47+K53+K56+K59</f>
        <v>12795175</v>
      </c>
      <c r="L75" s="155">
        <f>+L50+L47+L53+L56+L59</f>
        <v>29441396.640000001</v>
      </c>
    </row>
    <row r="76" spans="6:14" ht="12" x14ac:dyDescent="0.2">
      <c r="J76" s="154" t="s">
        <v>211</v>
      </c>
      <c r="K76" s="155">
        <f>+K16+K7+K34+K37+K40+K43</f>
        <v>6966499.0999999996</v>
      </c>
      <c r="L76" s="155">
        <f>+L16+L7+L34+L37+L40+L43</f>
        <v>19464697.06625</v>
      </c>
      <c r="N76" s="289"/>
    </row>
    <row r="77" spans="6:14" ht="12" x14ac:dyDescent="0.2">
      <c r="J77" s="154" t="s">
        <v>212</v>
      </c>
      <c r="K77" s="155">
        <f>+K17+K8+K35+K38+K41+K44</f>
        <v>42296601.699999996</v>
      </c>
      <c r="L77" s="155">
        <f>+L17+L8+L35+L38+L41+L44</f>
        <v>97323485.311250001</v>
      </c>
    </row>
    <row r="78" spans="6:14" ht="12" x14ac:dyDescent="0.2">
      <c r="J78" s="154" t="s">
        <v>213</v>
      </c>
      <c r="K78" s="155">
        <f>+K4+K10+K13+K29</f>
        <v>2361756.52</v>
      </c>
      <c r="L78" s="155">
        <f>+L4+L10+L13+L29</f>
        <v>6598848.9500000002</v>
      </c>
      <c r="N78" s="289"/>
    </row>
    <row r="79" spans="6:14" ht="12" x14ac:dyDescent="0.2">
      <c r="J79" s="154" t="s">
        <v>214</v>
      </c>
      <c r="K79" s="155">
        <f>+K5+K11+K14+K30</f>
        <v>14339236.029999999</v>
      </c>
      <c r="L79" s="155">
        <f>+L5+L11+L14+L30</f>
        <v>32994244.710000001</v>
      </c>
    </row>
    <row r="80" spans="6:14" ht="12" x14ac:dyDescent="0.2">
      <c r="J80" s="154" t="s">
        <v>215</v>
      </c>
      <c r="K80" s="155">
        <f>+K19+K25+K31+K22</f>
        <v>2791348.7</v>
      </c>
      <c r="L80" s="155">
        <f>+L19+L25+L31+L22</f>
        <v>7799147.8900000006</v>
      </c>
    </row>
    <row r="81" spans="10:12" ht="12" x14ac:dyDescent="0.2">
      <c r="J81" s="154" t="s">
        <v>216</v>
      </c>
      <c r="K81" s="155">
        <f>+K20+K26+K32+K23</f>
        <v>16947474.23</v>
      </c>
      <c r="L81" s="155">
        <f>+L20+L26+L32+L23</f>
        <v>38995739.410000004</v>
      </c>
    </row>
    <row r="82" spans="10:12" ht="12" customHeight="1" x14ac:dyDescent="0.2">
      <c r="J82" s="159" t="s">
        <v>217</v>
      </c>
      <c r="K82" s="148">
        <f>SUM(K74:K81)</f>
        <v>100279499.99000001</v>
      </c>
      <c r="L82" s="148">
        <f>SUM(L74:L81)</f>
        <v>237594892.24749997</v>
      </c>
    </row>
  </sheetData>
  <autoFilter ref="A1:M72"/>
  <customSheetViews>
    <customSheetView guid="{D1BD168D-40B4-46AB-88B7-64C22520CFA0}" scale="120" showPageBreaks="1" fitToPage="1" printArea="1" showAutoFilter="1">
      <pane xSplit="4" ySplit="2" topLeftCell="E52" activePane="bottomRight" state="frozen"/>
      <selection pane="bottomRight" activeCell="A57" sqref="A57"/>
      <pageMargins left="0.25" right="0.25" top="0.75" bottom="0.75" header="0.3" footer="0.3"/>
      <pageSetup paperSize="9" fitToHeight="0" orientation="landscape" r:id="rId1"/>
      <autoFilter ref="A1:M72"/>
    </customSheetView>
    <customSheetView guid="{AD504361-49F3-4986-BDBF-FB73E2299976}" scale="120" fitToPage="1" showAutoFilter="1">
      <pane xSplit="4" ySplit="2" topLeftCell="E52" activePane="bottomRight" state="frozen"/>
      <selection pane="bottomRight" activeCell="A57" sqref="A57"/>
      <pageMargins left="0.25" right="0.25" top="0.75" bottom="0.75" header="0.3" footer="0.3"/>
      <pageSetup paperSize="9" fitToHeight="0" orientation="landscape" r:id="rId2"/>
      <autoFilter ref="A1:M72"/>
    </customSheetView>
    <customSheetView guid="{B426F9F8-EB1A-4D7B-9478-7E22D414CC12}" scale="130" showPageBreaks="1" fitToPage="1" printArea="1" showAutoFilter="1" hiddenColumns="1">
      <pane xSplit="3" ySplit="1" topLeftCell="J3" activePane="bottomRight" state="frozen"/>
      <selection pane="bottomRight" activeCell="O15" sqref="O15"/>
      <pageMargins left="0.25" right="0.25" top="0.75" bottom="0.75" header="0.3" footer="0.3"/>
      <pageSetup paperSize="9" fitToHeight="0" orientation="landscape" r:id="rId3"/>
      <autoFilter ref="A1:M72"/>
    </customSheetView>
    <customSheetView guid="{56BC42A3-D967-4F27-BD5A-CB0B8CB7F657}" scale="120" fitToPage="1" showAutoFilter="1">
      <pane xSplit="4" ySplit="2" topLeftCell="G3" activePane="bottomRight" state="frozen"/>
      <selection pane="bottomRight" activeCell="H3" sqref="H3"/>
      <pageMargins left="0.25" right="0.25" top="0.75" bottom="0.75" header="0.3" footer="0.3"/>
      <pageSetup paperSize="9" scale="96" fitToHeight="0" orientation="landscape" r:id="rId4"/>
      <autoFilter ref="A1:M72"/>
    </customSheetView>
    <customSheetView guid="{2A6315F5-C9A2-43A7-B337-00FD30A3EB26}" scale="110" showPageBreaks="1" fitToPage="1" printArea="1" showAutoFilter="1">
      <pane xSplit="7" ySplit="1" topLeftCell="H2" activePane="bottomRight" state="frozen"/>
      <selection pane="bottomRight"/>
      <pageMargins left="0.25" right="0.25" top="0.75" bottom="0.75" header="0.3" footer="0.3"/>
      <pageSetup paperSize="9" scale="73" fitToHeight="0" orientation="landscape" r:id="rId5"/>
      <autoFilter ref="G1:O67"/>
    </customSheetView>
    <customSheetView guid="{32A281B9-28FB-4D0E-8C01-BFBADAC8C3C9}" scale="85" showPageBreaks="1" fitToPage="1" printArea="1" showAutoFilter="1" hiddenColumns="1">
      <pane xSplit="1" ySplit="1" topLeftCell="B2" activePane="bottomRight" state="frozen"/>
      <selection pane="bottomRight" activeCell="E3" sqref="E3"/>
      <pageMargins left="0.25" right="0.25" top="0.75" bottom="0.75" header="0.3" footer="0.3"/>
      <pageSetup paperSize="9" fitToHeight="0" orientation="landscape" r:id="rId6"/>
      <autoFilter ref="A1:O72"/>
    </customSheetView>
    <customSheetView guid="{77799D3C-38E2-410A-80FA-AECD8E6AB89B}" scale="120" fitToPage="1" showAutoFilter="1">
      <pane xSplit="4" ySplit="2" topLeftCell="H3" activePane="bottomRight" state="frozen"/>
      <selection pane="bottomRight" activeCell="J3" sqref="J3"/>
      <pageMargins left="0.25" right="0.25" top="0.75" bottom="0.75" header="0.3" footer="0.3"/>
      <pageSetup paperSize="9" scale="96" fitToHeight="0" orientation="landscape" r:id="rId7"/>
      <autoFilter ref="A1:M72"/>
    </customSheetView>
    <customSheetView guid="{13EBDE9D-EC74-4522-9EED-363E735B4A78}" scale="120" showPageBreaks="1" fitToPage="1" printArea="1" showAutoFilter="1">
      <pane xSplit="4" ySplit="2" topLeftCell="E3" activePane="bottomRight" state="frozen"/>
      <selection pane="bottomRight" activeCell="E3" sqref="E3"/>
      <pageMargins left="0.25" right="0.25" top="0.75" bottom="0.75" header="0.3" footer="0.3"/>
      <pageSetup paperSize="9" fitToHeight="0" orientation="landscape" r:id="rId8"/>
      <autoFilter ref="A1:M72"/>
    </customSheetView>
  </customSheetViews>
  <mergeCells count="7">
    <mergeCell ref="G27:G28"/>
    <mergeCell ref="A27:A28"/>
    <mergeCell ref="E27:E28"/>
    <mergeCell ref="F27:F28"/>
    <mergeCell ref="B27:B28"/>
    <mergeCell ref="C27:C28"/>
    <mergeCell ref="D27:D28"/>
  </mergeCells>
  <pageMargins left="0.25" right="0.25" top="0.75" bottom="0.75" header="0.3" footer="0.3"/>
  <pageSetup paperSize="9" scale="33" fitToHeight="0"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workbookViewId="0">
      <selection activeCell="Z2" sqref="Z2"/>
    </sheetView>
  </sheetViews>
  <sheetFormatPr defaultRowHeight="15" x14ac:dyDescent="0.25"/>
  <cols>
    <col min="1" max="1" width="14.5703125" style="145" customWidth="1"/>
    <col min="2" max="2" width="45.7109375" style="146" customWidth="1"/>
    <col min="3" max="3" width="9.140625" style="152" customWidth="1"/>
    <col min="4" max="4" width="6.85546875" style="152" customWidth="1"/>
    <col min="5" max="5" width="6.42578125" style="152" bestFit="1" customWidth="1"/>
    <col min="6" max="6" width="7" style="152" bestFit="1" customWidth="1"/>
    <col min="7" max="7" width="7.140625" style="152" customWidth="1"/>
    <col min="8" max="8" width="7.42578125" style="152" customWidth="1"/>
    <col min="9" max="9" width="6" style="152" bestFit="1" customWidth="1"/>
    <col min="10" max="10" width="6.5703125" style="153" bestFit="1" customWidth="1"/>
    <col min="11" max="11" width="6.42578125" style="153" customWidth="1"/>
    <col min="12" max="12" width="6.7109375" style="152" bestFit="1" customWidth="1"/>
    <col min="13" max="13" width="8.7109375" style="152" customWidth="1"/>
    <col min="14" max="14" width="6.5703125" style="152" customWidth="1"/>
    <col min="15" max="15" width="11" style="152" customWidth="1"/>
    <col min="16" max="16" width="10" style="152" customWidth="1"/>
    <col min="17" max="18" width="6.7109375" style="152" customWidth="1"/>
    <col min="19" max="21" width="7" style="152" customWidth="1"/>
    <col min="22" max="22" width="6.42578125" style="152" bestFit="1" customWidth="1"/>
    <col min="23" max="23" width="5.7109375" style="153" customWidth="1"/>
    <col min="24" max="24" width="6.28515625" style="153" customWidth="1"/>
    <col min="25" max="25" width="6.5703125" style="152" customWidth="1"/>
    <col min="26" max="26" width="7.5703125" style="152" customWidth="1"/>
    <col min="27" max="27" width="5.5703125" style="152" customWidth="1"/>
    <col min="28" max="28" width="11.5703125" style="152" customWidth="1"/>
    <col min="29" max="16384" width="9.140625" style="128"/>
  </cols>
  <sheetData>
    <row r="1" spans="1:28" x14ac:dyDescent="0.25">
      <c r="A1" s="429" t="s">
        <v>218</v>
      </c>
      <c r="B1" s="431" t="s">
        <v>219</v>
      </c>
      <c r="C1" s="433" t="s">
        <v>220</v>
      </c>
      <c r="D1" s="433"/>
      <c r="E1" s="433"/>
      <c r="F1" s="433"/>
      <c r="G1" s="433"/>
      <c r="H1" s="433"/>
      <c r="I1" s="433"/>
      <c r="J1" s="433"/>
      <c r="K1" s="433"/>
      <c r="L1" s="433"/>
      <c r="M1" s="433"/>
      <c r="N1" s="433"/>
      <c r="O1" s="433"/>
      <c r="P1" s="434" t="s">
        <v>221</v>
      </c>
      <c r="Q1" s="433"/>
      <c r="R1" s="433"/>
      <c r="S1" s="433"/>
      <c r="T1" s="433"/>
      <c r="U1" s="433"/>
      <c r="V1" s="433"/>
      <c r="W1" s="433"/>
      <c r="X1" s="433"/>
      <c r="Y1" s="433"/>
      <c r="Z1" s="433"/>
      <c r="AA1" s="433"/>
      <c r="AB1" s="433"/>
    </row>
    <row r="2" spans="1:28" ht="72" x14ac:dyDescent="0.25">
      <c r="A2" s="430"/>
      <c r="B2" s="432"/>
      <c r="C2" s="206" t="s">
        <v>222</v>
      </c>
      <c r="D2" s="206" t="s">
        <v>223</v>
      </c>
      <c r="E2" s="206" t="s">
        <v>224</v>
      </c>
      <c r="F2" s="206" t="s">
        <v>225</v>
      </c>
      <c r="G2" s="206" t="s">
        <v>226</v>
      </c>
      <c r="H2" s="206" t="s">
        <v>570</v>
      </c>
      <c r="I2" s="206" t="s">
        <v>227</v>
      </c>
      <c r="J2" s="206" t="s">
        <v>228</v>
      </c>
      <c r="K2" s="206" t="s">
        <v>229</v>
      </c>
      <c r="L2" s="206" t="s">
        <v>230</v>
      </c>
      <c r="M2" s="206" t="s">
        <v>231</v>
      </c>
      <c r="N2" s="206" t="s">
        <v>232</v>
      </c>
      <c r="O2" s="207" t="s">
        <v>233</v>
      </c>
      <c r="P2" s="206" t="s">
        <v>234</v>
      </c>
      <c r="Q2" s="206" t="s">
        <v>235</v>
      </c>
      <c r="R2" s="206" t="s">
        <v>236</v>
      </c>
      <c r="S2" s="206" t="s">
        <v>237</v>
      </c>
      <c r="T2" s="206" t="s">
        <v>238</v>
      </c>
      <c r="U2" s="206" t="s">
        <v>570</v>
      </c>
      <c r="V2" s="206" t="s">
        <v>239</v>
      </c>
      <c r="W2" s="206" t="s">
        <v>240</v>
      </c>
      <c r="X2" s="206" t="s">
        <v>241</v>
      </c>
      <c r="Y2" s="206" t="s">
        <v>242</v>
      </c>
      <c r="Z2" s="206" t="s">
        <v>243</v>
      </c>
      <c r="AA2" s="206" t="s">
        <v>244</v>
      </c>
      <c r="AB2" s="207" t="s">
        <v>245</v>
      </c>
    </row>
    <row r="3" spans="1:28" ht="30" x14ac:dyDescent="0.25">
      <c r="A3" s="217" t="s">
        <v>246</v>
      </c>
      <c r="B3" s="217" t="s">
        <v>247</v>
      </c>
      <c r="C3" s="208">
        <v>11</v>
      </c>
      <c r="D3" s="208">
        <v>6</v>
      </c>
      <c r="E3" s="208"/>
      <c r="F3" s="208">
        <v>3</v>
      </c>
      <c r="G3" s="208"/>
      <c r="H3" s="208">
        <v>3</v>
      </c>
      <c r="I3" s="208">
        <v>1</v>
      </c>
      <c r="J3" s="209"/>
      <c r="K3" s="209"/>
      <c r="L3" s="208"/>
      <c r="M3" s="208"/>
      <c r="N3" s="208">
        <v>1</v>
      </c>
      <c r="O3" s="210">
        <f t="shared" ref="O3:O8" si="0">SUM(C3:N3)</f>
        <v>25</v>
      </c>
      <c r="P3" s="208">
        <v>30</v>
      </c>
      <c r="Q3" s="208">
        <v>18</v>
      </c>
      <c r="R3" s="208"/>
      <c r="S3" s="208">
        <v>15</v>
      </c>
      <c r="T3" s="208"/>
      <c r="U3" s="208">
        <v>9</v>
      </c>
      <c r="V3" s="209">
        <v>5</v>
      </c>
      <c r="W3" s="209"/>
      <c r="X3" s="209"/>
      <c r="Y3" s="208"/>
      <c r="Z3" s="208"/>
      <c r="AA3" s="208">
        <v>5</v>
      </c>
      <c r="AB3" s="210">
        <f t="shared" ref="AB3:AB8" si="1">SUM(P3:AA3)</f>
        <v>82</v>
      </c>
    </row>
    <row r="4" spans="1:28" ht="30" x14ac:dyDescent="0.25">
      <c r="A4" s="218" t="s">
        <v>248</v>
      </c>
      <c r="B4" s="218" t="s">
        <v>563</v>
      </c>
      <c r="C4" s="211">
        <v>13</v>
      </c>
      <c r="D4" s="211"/>
      <c r="E4" s="211">
        <v>5</v>
      </c>
      <c r="F4" s="211">
        <v>4</v>
      </c>
      <c r="G4" s="211">
        <v>3</v>
      </c>
      <c r="H4" s="211"/>
      <c r="I4" s="211"/>
      <c r="J4" s="212"/>
      <c r="K4" s="212"/>
      <c r="L4" s="211"/>
      <c r="M4" s="211"/>
      <c r="N4" s="211"/>
      <c r="O4" s="210">
        <f t="shared" si="0"/>
        <v>25</v>
      </c>
      <c r="P4" s="211">
        <v>25</v>
      </c>
      <c r="Q4" s="211"/>
      <c r="R4" s="211">
        <v>10</v>
      </c>
      <c r="S4" s="211">
        <v>4</v>
      </c>
      <c r="T4" s="211">
        <v>9</v>
      </c>
      <c r="U4" s="211"/>
      <c r="V4" s="211"/>
      <c r="W4" s="212"/>
      <c r="X4" s="212"/>
      <c r="Y4" s="211"/>
      <c r="Z4" s="211"/>
      <c r="AA4" s="211"/>
      <c r="AB4" s="210">
        <f t="shared" si="1"/>
        <v>48</v>
      </c>
    </row>
    <row r="5" spans="1:28" ht="30" x14ac:dyDescent="0.25">
      <c r="A5" s="217" t="s">
        <v>249</v>
      </c>
      <c r="B5" s="217" t="s">
        <v>564</v>
      </c>
      <c r="C5" s="208">
        <v>54</v>
      </c>
      <c r="D5" s="208">
        <v>5</v>
      </c>
      <c r="E5" s="208">
        <v>9</v>
      </c>
      <c r="F5" s="208">
        <v>6</v>
      </c>
      <c r="G5" s="208">
        <v>6</v>
      </c>
      <c r="H5" s="208">
        <v>20</v>
      </c>
      <c r="I5" s="208">
        <v>7</v>
      </c>
      <c r="J5" s="209">
        <v>18</v>
      </c>
      <c r="K5" s="209"/>
      <c r="L5" s="208"/>
      <c r="M5" s="208"/>
      <c r="N5" s="208">
        <f>1+3*2</f>
        <v>7</v>
      </c>
      <c r="O5" s="210">
        <f t="shared" si="0"/>
        <v>132</v>
      </c>
      <c r="P5" s="213">
        <v>162</v>
      </c>
      <c r="Q5" s="214">
        <v>17</v>
      </c>
      <c r="R5" s="208">
        <v>21</v>
      </c>
      <c r="S5" s="208">
        <v>16</v>
      </c>
      <c r="T5" s="208">
        <v>18</v>
      </c>
      <c r="U5" s="208">
        <v>60</v>
      </c>
      <c r="V5" s="208">
        <v>18</v>
      </c>
      <c r="W5" s="208">
        <v>54</v>
      </c>
      <c r="X5" s="208"/>
      <c r="Y5" s="209"/>
      <c r="Z5" s="209"/>
      <c r="AA5" s="208">
        <f>1+9*2</f>
        <v>19</v>
      </c>
      <c r="AB5" s="210">
        <f t="shared" si="1"/>
        <v>385</v>
      </c>
    </row>
    <row r="6" spans="1:28" ht="30" x14ac:dyDescent="0.25">
      <c r="A6" s="218" t="s">
        <v>250</v>
      </c>
      <c r="B6" s="218" t="s">
        <v>565</v>
      </c>
      <c r="C6" s="211"/>
      <c r="D6" s="211"/>
      <c r="E6" s="211"/>
      <c r="F6" s="211"/>
      <c r="G6" s="211"/>
      <c r="H6" s="211">
        <v>36</v>
      </c>
      <c r="I6" s="211"/>
      <c r="J6" s="212"/>
      <c r="K6" s="212"/>
      <c r="L6" s="211"/>
      <c r="M6" s="211"/>
      <c r="N6" s="211"/>
      <c r="O6" s="210">
        <f t="shared" si="0"/>
        <v>36</v>
      </c>
      <c r="P6" s="215"/>
      <c r="Q6" s="216"/>
      <c r="R6" s="211"/>
      <c r="S6" s="211"/>
      <c r="T6" s="211"/>
      <c r="U6" s="211">
        <v>108</v>
      </c>
      <c r="V6" s="211"/>
      <c r="W6" s="211"/>
      <c r="X6" s="211"/>
      <c r="Y6" s="212"/>
      <c r="Z6" s="212"/>
      <c r="AA6" s="211"/>
      <c r="AB6" s="210">
        <f t="shared" si="1"/>
        <v>108</v>
      </c>
    </row>
    <row r="7" spans="1:28" ht="45" x14ac:dyDescent="0.25">
      <c r="A7" s="217" t="s">
        <v>251</v>
      </c>
      <c r="B7" s="217" t="s">
        <v>566</v>
      </c>
      <c r="C7" s="208">
        <v>61</v>
      </c>
      <c r="D7" s="208">
        <v>64</v>
      </c>
      <c r="E7" s="208">
        <v>60</v>
      </c>
      <c r="F7" s="208">
        <v>30</v>
      </c>
      <c r="G7" s="208">
        <v>69</v>
      </c>
      <c r="H7" s="208"/>
      <c r="I7" s="208">
        <v>5</v>
      </c>
      <c r="J7" s="209">
        <v>6</v>
      </c>
      <c r="K7" s="209"/>
      <c r="L7" s="208">
        <v>88</v>
      </c>
      <c r="M7" s="208"/>
      <c r="N7" s="208">
        <v>20</v>
      </c>
      <c r="O7" s="210">
        <f t="shared" si="0"/>
        <v>403</v>
      </c>
      <c r="P7" s="213">
        <v>61</v>
      </c>
      <c r="Q7" s="214">
        <v>64</v>
      </c>
      <c r="R7" s="208">
        <v>60</v>
      </c>
      <c r="S7" s="208">
        <v>30</v>
      </c>
      <c r="T7" s="208">
        <v>69</v>
      </c>
      <c r="U7" s="208"/>
      <c r="V7" s="208">
        <v>5</v>
      </c>
      <c r="W7" s="208">
        <v>6</v>
      </c>
      <c r="X7" s="208"/>
      <c r="Y7" s="209">
        <v>88</v>
      </c>
      <c r="Z7" s="209"/>
      <c r="AA7" s="208">
        <v>20</v>
      </c>
      <c r="AB7" s="210">
        <f t="shared" si="1"/>
        <v>403</v>
      </c>
    </row>
    <row r="8" spans="1:28" ht="45" x14ac:dyDescent="0.25">
      <c r="A8" s="218" t="s">
        <v>252</v>
      </c>
      <c r="B8" s="218" t="s">
        <v>567</v>
      </c>
      <c r="C8" s="211">
        <v>1855</v>
      </c>
      <c r="D8" s="211">
        <f>64*2*3+'Хоризонтално обучение '!P3</f>
        <v>1253</v>
      </c>
      <c r="E8" s="211">
        <v>540</v>
      </c>
      <c r="F8" s="211">
        <f>'Хоризонтално обучение '!P8</f>
        <v>708</v>
      </c>
      <c r="G8" s="211">
        <f>45+'Хоризонтално обучение '!P4</f>
        <v>1244</v>
      </c>
      <c r="H8" s="211">
        <f>60+'Хоризонтално обучение '!P6</f>
        <v>1446</v>
      </c>
      <c r="I8" s="211">
        <v>35</v>
      </c>
      <c r="J8" s="212">
        <f>J5*50</f>
        <v>900</v>
      </c>
      <c r="K8" s="212">
        <v>0</v>
      </c>
      <c r="L8" s="211"/>
      <c r="M8" s="211">
        <v>300</v>
      </c>
      <c r="N8" s="211">
        <v>196</v>
      </c>
      <c r="O8" s="210">
        <f t="shared" si="0"/>
        <v>8477</v>
      </c>
      <c r="P8" s="215">
        <v>4757</v>
      </c>
      <c r="Q8" s="216">
        <f>64*2*9+'Хоризонтално обучение '!Q3</f>
        <v>3671</v>
      </c>
      <c r="R8" s="211">
        <v>1440</v>
      </c>
      <c r="S8" s="211">
        <f>'Хоризонтално обучение '!Q8</f>
        <v>2058</v>
      </c>
      <c r="T8" s="211">
        <f>135+'Хоризонтално обучение '!Q4</f>
        <v>4002</v>
      </c>
      <c r="U8" s="211">
        <f>180+'Хоризонтално обучение '!Q6</f>
        <v>4366</v>
      </c>
      <c r="V8" s="211">
        <v>105</v>
      </c>
      <c r="W8" s="211">
        <f>W5*50</f>
        <v>2700</v>
      </c>
      <c r="X8" s="211">
        <f>500</f>
        <v>500</v>
      </c>
      <c r="Y8" s="212"/>
      <c r="Z8" s="212">
        <v>600</v>
      </c>
      <c r="AA8" s="211">
        <v>712</v>
      </c>
      <c r="AB8" s="210">
        <f t="shared" si="1"/>
        <v>24911</v>
      </c>
    </row>
    <row r="9" spans="1:28" ht="30" x14ac:dyDescent="0.25">
      <c r="A9" s="217" t="s">
        <v>253</v>
      </c>
      <c r="B9" s="217" t="s">
        <v>568</v>
      </c>
      <c r="C9" s="208"/>
      <c r="D9" s="208"/>
      <c r="E9" s="208"/>
      <c r="F9" s="208"/>
      <c r="G9" s="208"/>
      <c r="H9" s="208"/>
      <c r="I9" s="208"/>
      <c r="J9" s="209"/>
      <c r="K9" s="209"/>
      <c r="L9" s="208"/>
      <c r="M9" s="208"/>
      <c r="N9" s="208"/>
      <c r="O9" s="210">
        <v>85</v>
      </c>
      <c r="P9" s="213"/>
      <c r="Q9" s="214"/>
      <c r="R9" s="208"/>
      <c r="S9" s="208"/>
      <c r="T9" s="208"/>
      <c r="U9" s="208"/>
      <c r="V9" s="208"/>
      <c r="W9" s="208"/>
      <c r="X9" s="208"/>
      <c r="Y9" s="209"/>
      <c r="Z9" s="209"/>
      <c r="AA9" s="208"/>
      <c r="AB9" s="210">
        <v>87</v>
      </c>
    </row>
    <row r="10" spans="1:28" x14ac:dyDescent="0.25">
      <c r="A10" s="218" t="s">
        <v>254</v>
      </c>
      <c r="B10" s="218" t="s">
        <v>255</v>
      </c>
      <c r="C10" s="211">
        <v>300</v>
      </c>
      <c r="D10" s="211"/>
      <c r="E10" s="211"/>
      <c r="F10" s="211"/>
      <c r="G10" s="211"/>
      <c r="H10" s="211"/>
      <c r="I10" s="211"/>
      <c r="J10" s="212"/>
      <c r="K10" s="212"/>
      <c r="L10" s="211"/>
      <c r="M10" s="211"/>
      <c r="N10" s="211"/>
      <c r="O10" s="210">
        <f t="shared" ref="O10:O20" si="2">SUM(C10:N10)</f>
        <v>300</v>
      </c>
      <c r="P10" s="215">
        <v>300</v>
      </c>
      <c r="Q10" s="216"/>
      <c r="R10" s="211"/>
      <c r="S10" s="211"/>
      <c r="T10" s="211"/>
      <c r="U10" s="211"/>
      <c r="V10" s="211"/>
      <c r="W10" s="211"/>
      <c r="X10" s="211"/>
      <c r="Y10" s="212"/>
      <c r="Z10" s="212"/>
      <c r="AA10" s="211"/>
      <c r="AB10" s="210">
        <f>SUM(P10:AA10)</f>
        <v>300</v>
      </c>
    </row>
    <row r="11" spans="1:28" x14ac:dyDescent="0.25">
      <c r="A11" s="217" t="s">
        <v>256</v>
      </c>
      <c r="B11" s="217" t="s">
        <v>257</v>
      </c>
      <c r="C11" s="208"/>
      <c r="D11" s="208"/>
      <c r="E11" s="208"/>
      <c r="F11" s="208"/>
      <c r="G11" s="208"/>
      <c r="H11" s="208"/>
      <c r="I11" s="208"/>
      <c r="J11" s="209">
        <v>50</v>
      </c>
      <c r="K11" s="209">
        <v>50</v>
      </c>
      <c r="L11" s="208"/>
      <c r="M11" s="208"/>
      <c r="N11" s="208"/>
      <c r="O11" s="210">
        <f t="shared" si="2"/>
        <v>100</v>
      </c>
      <c r="P11" s="213"/>
      <c r="Q11" s="214"/>
      <c r="R11" s="208"/>
      <c r="S11" s="208"/>
      <c r="T11" s="208"/>
      <c r="U11" s="208"/>
      <c r="V11" s="208"/>
      <c r="W11" s="208">
        <v>140</v>
      </c>
      <c r="X11" s="208">
        <v>150</v>
      </c>
      <c r="Y11" s="209"/>
      <c r="Z11" s="209"/>
      <c r="AA11" s="208"/>
      <c r="AB11" s="210">
        <f>SUM(P11:AA11)</f>
        <v>290</v>
      </c>
    </row>
    <row r="12" spans="1:28" ht="30" x14ac:dyDescent="0.25">
      <c r="A12" s="218" t="s">
        <v>258</v>
      </c>
      <c r="B12" s="218" t="s">
        <v>259</v>
      </c>
      <c r="C12" s="211"/>
      <c r="D12" s="211">
        <v>72</v>
      </c>
      <c r="E12" s="211">
        <v>118</v>
      </c>
      <c r="F12" s="211">
        <v>63</v>
      </c>
      <c r="G12" s="211">
        <v>240</v>
      </c>
      <c r="H12" s="211"/>
      <c r="I12" s="211"/>
      <c r="J12" s="212"/>
      <c r="K12" s="212"/>
      <c r="L12" s="211"/>
      <c r="M12" s="211"/>
      <c r="N12" s="211"/>
      <c r="O12" s="210">
        <f t="shared" si="2"/>
        <v>493</v>
      </c>
      <c r="P12" s="215"/>
      <c r="Q12" s="216">
        <v>216</v>
      </c>
      <c r="R12" s="211">
        <v>610</v>
      </c>
      <c r="S12" s="211">
        <v>173</v>
      </c>
      <c r="T12" s="211">
        <v>720</v>
      </c>
      <c r="U12" s="211"/>
      <c r="V12" s="211"/>
      <c r="W12" s="211"/>
      <c r="X12" s="211"/>
      <c r="Y12" s="212"/>
      <c r="Z12" s="212"/>
      <c r="AA12" s="211"/>
      <c r="AB12" s="210">
        <f t="shared" ref="AB12:AB20" si="3">SUM(P12:AA12)</f>
        <v>1719</v>
      </c>
    </row>
    <row r="13" spans="1:28" x14ac:dyDescent="0.25">
      <c r="A13" s="217" t="s">
        <v>260</v>
      </c>
      <c r="B13" s="217" t="s">
        <v>261</v>
      </c>
      <c r="C13" s="208">
        <v>25</v>
      </c>
      <c r="D13" s="208"/>
      <c r="E13" s="208"/>
      <c r="F13" s="208"/>
      <c r="G13" s="208"/>
      <c r="H13" s="208"/>
      <c r="I13" s="208"/>
      <c r="J13" s="209"/>
      <c r="K13" s="209"/>
      <c r="L13" s="208"/>
      <c r="M13" s="208"/>
      <c r="N13" s="208"/>
      <c r="O13" s="210">
        <f t="shared" si="2"/>
        <v>25</v>
      </c>
      <c r="P13" s="213">
        <v>75</v>
      </c>
      <c r="Q13" s="214"/>
      <c r="R13" s="208"/>
      <c r="S13" s="208"/>
      <c r="T13" s="208"/>
      <c r="U13" s="208"/>
      <c r="V13" s="208"/>
      <c r="W13" s="208"/>
      <c r="X13" s="208"/>
      <c r="Y13" s="209"/>
      <c r="Z13" s="209"/>
      <c r="AA13" s="208"/>
      <c r="AB13" s="210">
        <f>SUM(P13:AA13)</f>
        <v>75</v>
      </c>
    </row>
    <row r="14" spans="1:28" ht="30" x14ac:dyDescent="0.25">
      <c r="A14" s="218" t="s">
        <v>262</v>
      </c>
      <c r="B14" s="218" t="s">
        <v>569</v>
      </c>
      <c r="C14" s="211">
        <v>87</v>
      </c>
      <c r="D14" s="211"/>
      <c r="E14" s="211"/>
      <c r="F14" s="211"/>
      <c r="G14" s="211"/>
      <c r="H14" s="211"/>
      <c r="I14" s="211"/>
      <c r="J14" s="212"/>
      <c r="K14" s="212"/>
      <c r="L14" s="211"/>
      <c r="M14" s="211"/>
      <c r="N14" s="211"/>
      <c r="O14" s="210">
        <f t="shared" si="2"/>
        <v>87</v>
      </c>
      <c r="P14" s="215">
        <v>90</v>
      </c>
      <c r="Q14" s="216"/>
      <c r="R14" s="211"/>
      <c r="S14" s="211"/>
      <c r="T14" s="211"/>
      <c r="U14" s="211"/>
      <c r="V14" s="211"/>
      <c r="W14" s="211"/>
      <c r="X14" s="211"/>
      <c r="Y14" s="212"/>
      <c r="Z14" s="212"/>
      <c r="AA14" s="211"/>
      <c r="AB14" s="210">
        <v>90</v>
      </c>
    </row>
    <row r="15" spans="1:28" ht="30" x14ac:dyDescent="0.25">
      <c r="A15" s="217" t="s">
        <v>263</v>
      </c>
      <c r="B15" s="217" t="s">
        <v>264</v>
      </c>
      <c r="C15" s="208">
        <v>90</v>
      </c>
      <c r="D15" s="208"/>
      <c r="E15" s="208"/>
      <c r="F15" s="208"/>
      <c r="G15" s="208"/>
      <c r="H15" s="208"/>
      <c r="I15" s="208"/>
      <c r="J15" s="209"/>
      <c r="K15" s="209"/>
      <c r="L15" s="208"/>
      <c r="M15" s="208"/>
      <c r="N15" s="208"/>
      <c r="O15" s="210">
        <f t="shared" si="2"/>
        <v>90</v>
      </c>
      <c r="P15" s="213">
        <v>70</v>
      </c>
      <c r="Q15" s="214"/>
      <c r="R15" s="208"/>
      <c r="S15" s="208"/>
      <c r="T15" s="208"/>
      <c r="U15" s="208"/>
      <c r="V15" s="208"/>
      <c r="W15" s="208"/>
      <c r="X15" s="208"/>
      <c r="Y15" s="209"/>
      <c r="Z15" s="209"/>
      <c r="AA15" s="208"/>
      <c r="AB15" s="210">
        <f>SUM(P15:AA15)</f>
        <v>70</v>
      </c>
    </row>
    <row r="16" spans="1:28" x14ac:dyDescent="0.25">
      <c r="A16" s="218" t="s">
        <v>265</v>
      </c>
      <c r="B16" s="218" t="s">
        <v>266</v>
      </c>
      <c r="C16" s="211"/>
      <c r="D16" s="211"/>
      <c r="E16" s="211"/>
      <c r="F16" s="211"/>
      <c r="G16" s="211"/>
      <c r="H16" s="211"/>
      <c r="I16" s="211"/>
      <c r="J16" s="212">
        <v>12</v>
      </c>
      <c r="K16" s="212"/>
      <c r="L16" s="211">
        <f>1*265+1*2*27</f>
        <v>319</v>
      </c>
      <c r="M16" s="211"/>
      <c r="N16" s="211">
        <v>3</v>
      </c>
      <c r="O16" s="210">
        <f t="shared" si="2"/>
        <v>334</v>
      </c>
      <c r="P16" s="215"/>
      <c r="Q16" s="216"/>
      <c r="R16" s="211"/>
      <c r="S16" s="211"/>
      <c r="T16" s="211"/>
      <c r="U16" s="211"/>
      <c r="V16" s="211"/>
      <c r="W16" s="211">
        <v>36</v>
      </c>
      <c r="X16" s="211"/>
      <c r="Y16" s="212">
        <f>7*265+7*2*27</f>
        <v>2233</v>
      </c>
      <c r="Z16" s="212"/>
      <c r="AA16" s="211">
        <v>9</v>
      </c>
      <c r="AB16" s="210">
        <f>SUM(P16:AA16)</f>
        <v>2278</v>
      </c>
    </row>
    <row r="17" spans="1:28" x14ac:dyDescent="0.25">
      <c r="A17" s="217" t="s">
        <v>267</v>
      </c>
      <c r="B17" s="217" t="s">
        <v>268</v>
      </c>
      <c r="C17" s="208"/>
      <c r="D17" s="208"/>
      <c r="E17" s="208"/>
      <c r="F17" s="208">
        <v>1</v>
      </c>
      <c r="G17" s="208"/>
      <c r="H17" s="208"/>
      <c r="I17" s="208"/>
      <c r="J17" s="209">
        <v>3</v>
      </c>
      <c r="K17" s="209"/>
      <c r="L17" s="208">
        <f>27*2*1</f>
        <v>54</v>
      </c>
      <c r="M17" s="208"/>
      <c r="N17" s="208">
        <v>3</v>
      </c>
      <c r="O17" s="210">
        <f t="shared" si="2"/>
        <v>61</v>
      </c>
      <c r="P17" s="213"/>
      <c r="Q17" s="214"/>
      <c r="R17" s="208"/>
      <c r="S17" s="208">
        <v>2</v>
      </c>
      <c r="T17" s="208"/>
      <c r="U17" s="208"/>
      <c r="V17" s="208"/>
      <c r="W17" s="208">
        <v>9</v>
      </c>
      <c r="X17" s="208"/>
      <c r="Y17" s="209">
        <v>432</v>
      </c>
      <c r="Z17" s="209"/>
      <c r="AA17" s="208">
        <v>9</v>
      </c>
      <c r="AB17" s="210">
        <f t="shared" si="3"/>
        <v>452</v>
      </c>
    </row>
    <row r="18" spans="1:28" x14ac:dyDescent="0.25">
      <c r="A18" s="218" t="s">
        <v>269</v>
      </c>
      <c r="B18" s="218" t="s">
        <v>270</v>
      </c>
      <c r="C18" s="211">
        <v>1000000</v>
      </c>
      <c r="D18" s="211"/>
      <c r="E18" s="211"/>
      <c r="F18" s="211"/>
      <c r="G18" s="211"/>
      <c r="H18" s="211"/>
      <c r="I18" s="211"/>
      <c r="J18" s="212"/>
      <c r="K18" s="212"/>
      <c r="L18" s="211"/>
      <c r="M18" s="211"/>
      <c r="N18" s="211"/>
      <c r="O18" s="210">
        <f t="shared" si="2"/>
        <v>1000000</v>
      </c>
      <c r="P18" s="215">
        <v>1000000</v>
      </c>
      <c r="Q18" s="216"/>
      <c r="R18" s="211"/>
      <c r="S18" s="211"/>
      <c r="T18" s="211"/>
      <c r="U18" s="211"/>
      <c r="V18" s="211"/>
      <c r="W18" s="211"/>
      <c r="X18" s="211"/>
      <c r="Y18" s="212"/>
      <c r="Z18" s="212"/>
      <c r="AA18" s="211"/>
      <c r="AB18" s="210">
        <f t="shared" si="3"/>
        <v>1000000</v>
      </c>
    </row>
    <row r="19" spans="1:28" ht="21" customHeight="1" x14ac:dyDescent="0.25">
      <c r="A19" s="217" t="s">
        <v>271</v>
      </c>
      <c r="B19" s="217" t="s">
        <v>272</v>
      </c>
      <c r="C19" s="208">
        <v>2160000</v>
      </c>
      <c r="D19" s="208"/>
      <c r="E19" s="208"/>
      <c r="F19" s="208"/>
      <c r="G19" s="208"/>
      <c r="H19" s="208"/>
      <c r="I19" s="208"/>
      <c r="J19" s="209"/>
      <c r="K19" s="209"/>
      <c r="L19" s="208"/>
      <c r="M19" s="208"/>
      <c r="N19" s="208"/>
      <c r="O19" s="210">
        <f t="shared" si="2"/>
        <v>2160000</v>
      </c>
      <c r="P19" s="213">
        <v>9072000</v>
      </c>
      <c r="Q19" s="214"/>
      <c r="R19" s="208"/>
      <c r="S19" s="208"/>
      <c r="T19" s="208"/>
      <c r="U19" s="208"/>
      <c r="V19" s="208"/>
      <c r="W19" s="208"/>
      <c r="X19" s="208"/>
      <c r="Y19" s="209"/>
      <c r="Z19" s="209"/>
      <c r="AA19" s="208"/>
      <c r="AB19" s="210">
        <f t="shared" si="3"/>
        <v>9072000</v>
      </c>
    </row>
    <row r="20" spans="1:28" ht="45" x14ac:dyDescent="0.25">
      <c r="A20" s="218" t="s">
        <v>273</v>
      </c>
      <c r="B20" s="218" t="s">
        <v>274</v>
      </c>
      <c r="C20" s="211">
        <v>72</v>
      </c>
      <c r="D20" s="211"/>
      <c r="E20" s="211"/>
      <c r="F20" s="211"/>
      <c r="G20" s="211"/>
      <c r="H20" s="211"/>
      <c r="I20" s="211"/>
      <c r="J20" s="212"/>
      <c r="K20" s="212"/>
      <c r="L20" s="211"/>
      <c r="M20" s="211"/>
      <c r="N20" s="211"/>
      <c r="O20" s="210">
        <f t="shared" si="2"/>
        <v>72</v>
      </c>
      <c r="P20" s="215">
        <v>72</v>
      </c>
      <c r="Q20" s="216"/>
      <c r="R20" s="211"/>
      <c r="S20" s="211"/>
      <c r="T20" s="211"/>
      <c r="U20" s="211"/>
      <c r="V20" s="211"/>
      <c r="W20" s="211"/>
      <c r="X20" s="211"/>
      <c r="Y20" s="212"/>
      <c r="Z20" s="212"/>
      <c r="AA20" s="211"/>
      <c r="AB20" s="210">
        <f t="shared" si="3"/>
        <v>72</v>
      </c>
    </row>
  </sheetData>
  <customSheetViews>
    <customSheetView guid="{D1BD168D-40B4-46AB-88B7-64C22520CFA0}">
      <selection activeCell="E14" sqref="E14"/>
      <pageMargins left="0.7" right="0.7" top="0.75" bottom="0.75" header="0.3" footer="0.3"/>
      <pageSetup orientation="portrait" r:id="rId1"/>
    </customSheetView>
    <customSheetView guid="{AD504361-49F3-4986-BDBF-FB73E2299976}">
      <selection activeCell="E14" sqref="E14"/>
      <pageMargins left="0.7" right="0.7" top="0.75" bottom="0.75" header="0.3" footer="0.3"/>
      <pageSetup orientation="portrait" r:id="rId2"/>
    </customSheetView>
    <customSheetView guid="{B426F9F8-EB1A-4D7B-9478-7E22D414CC12}">
      <selection activeCell="AB2" sqref="AB2"/>
      <pageMargins left="0.7" right="0.7" top="0.75" bottom="0.75" header="0.3" footer="0.3"/>
      <pageSetup orientation="portrait" r:id="rId3"/>
    </customSheetView>
    <customSheetView guid="{56BC42A3-D967-4F27-BD5A-CB0B8CB7F657}">
      <selection activeCell="U2" sqref="U2"/>
      <pageMargins left="0.7" right="0.7" top="0.75" bottom="0.75" header="0.3" footer="0.3"/>
      <pageSetup orientation="portrait" r:id="rId4"/>
    </customSheetView>
    <customSheetView guid="{2A6315F5-C9A2-43A7-B337-00FD30A3EB26}">
      <selection activeCell="B27" sqref="B27"/>
      <pageMargins left="0.7" right="0.7" top="0.75" bottom="0.75" header="0.3" footer="0.3"/>
      <pageSetup orientation="portrait" r:id="rId5"/>
    </customSheetView>
    <customSheetView guid="{32A281B9-28FB-4D0E-8C01-BFBADAC8C3C9}" scale="85">
      <selection activeCell="Q10" sqref="Q10"/>
      <pageMargins left="0.7" right="0.7" top="0.75" bottom="0.75" header="0.3" footer="0.3"/>
      <pageSetup orientation="portrait" r:id="rId6"/>
    </customSheetView>
    <customSheetView guid="{77799D3C-38E2-410A-80FA-AECD8E6AB89B}">
      <selection activeCell="U2" sqref="U2"/>
      <pageMargins left="0.7" right="0.7" top="0.75" bottom="0.75" header="0.3" footer="0.3"/>
      <pageSetup orientation="portrait" r:id="rId7"/>
    </customSheetView>
    <customSheetView guid="{13EBDE9D-EC74-4522-9EED-363E735B4A78}">
      <selection activeCell="C4" sqref="C4"/>
      <pageMargins left="0.7" right="0.7" top="0.75" bottom="0.75" header="0.3" footer="0.3"/>
      <pageSetup orientation="portrait" r:id="rId8"/>
    </customSheetView>
  </customSheetViews>
  <mergeCells count="4">
    <mergeCell ref="A1:A2"/>
    <mergeCell ref="B1:B2"/>
    <mergeCell ref="C1:O1"/>
    <mergeCell ref="P1:AB1"/>
  </mergeCell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A8" sqref="A8"/>
    </sheetView>
  </sheetViews>
  <sheetFormatPr defaultRowHeight="15" x14ac:dyDescent="0.25"/>
  <cols>
    <col min="1" max="1" width="40.85546875" style="128" customWidth="1"/>
    <col min="2" max="2" width="10.7109375" style="128" customWidth="1"/>
    <col min="3" max="3" width="10" style="128" customWidth="1"/>
    <col min="4" max="4" width="11.5703125" style="128" customWidth="1"/>
    <col min="5" max="5" width="11.28515625" style="128" customWidth="1"/>
    <col min="6" max="6" width="10.140625" style="128" customWidth="1"/>
    <col min="7" max="7" width="10.28515625" style="128" customWidth="1"/>
    <col min="8" max="8" width="9.85546875" style="128" customWidth="1"/>
    <col min="9" max="9" width="10.42578125" style="128" customWidth="1"/>
    <col min="10" max="10" width="8.42578125" style="128" customWidth="1"/>
    <col min="11" max="11" width="12" style="128" customWidth="1"/>
    <col min="12" max="12" width="11.7109375" style="128" customWidth="1"/>
    <col min="13" max="13" width="11.28515625" style="128" customWidth="1"/>
    <col min="14" max="14" width="11" style="128" customWidth="1"/>
    <col min="15" max="15" width="12" style="128" customWidth="1"/>
    <col min="16" max="16" width="11.42578125" style="128" customWidth="1"/>
    <col min="17" max="17" width="9.85546875" style="128" customWidth="1"/>
    <col min="18" max="16384" width="9.140625" style="128"/>
  </cols>
  <sheetData>
    <row r="1" spans="1:17" ht="77.25" customHeight="1" thickTop="1" thickBot="1" x14ac:dyDescent="0.3">
      <c r="A1" s="349" t="s">
        <v>561</v>
      </c>
      <c r="B1" s="435" t="s">
        <v>275</v>
      </c>
      <c r="C1" s="436"/>
      <c r="D1" s="437" t="s">
        <v>276</v>
      </c>
      <c r="E1" s="437"/>
      <c r="F1" s="436" t="s">
        <v>277</v>
      </c>
      <c r="G1" s="436"/>
      <c r="H1" s="437" t="s">
        <v>278</v>
      </c>
      <c r="I1" s="437"/>
      <c r="J1" s="436" t="s">
        <v>279</v>
      </c>
      <c r="K1" s="436"/>
      <c r="L1" s="437" t="s">
        <v>280</v>
      </c>
      <c r="M1" s="437"/>
      <c r="N1" s="436" t="s">
        <v>281</v>
      </c>
      <c r="O1" s="436"/>
      <c r="P1" s="440" t="s">
        <v>282</v>
      </c>
      <c r="Q1" s="441"/>
    </row>
    <row r="2" spans="1:17" ht="39.75" thickTop="1" thickBot="1" x14ac:dyDescent="0.3">
      <c r="B2" s="368" t="s">
        <v>283</v>
      </c>
      <c r="C2" s="375" t="s">
        <v>284</v>
      </c>
      <c r="D2" s="368" t="s">
        <v>285</v>
      </c>
      <c r="E2" s="376" t="s">
        <v>286</v>
      </c>
      <c r="F2" s="368" t="s">
        <v>287</v>
      </c>
      <c r="G2" s="375" t="s">
        <v>288</v>
      </c>
      <c r="H2" s="368" t="s">
        <v>289</v>
      </c>
      <c r="I2" s="376" t="s">
        <v>290</v>
      </c>
      <c r="J2" s="368" t="s">
        <v>291</v>
      </c>
      <c r="K2" s="375" t="s">
        <v>292</v>
      </c>
      <c r="L2" s="368" t="s">
        <v>293</v>
      </c>
      <c r="M2" s="376" t="s">
        <v>294</v>
      </c>
      <c r="N2" s="368" t="s">
        <v>295</v>
      </c>
      <c r="O2" s="375" t="s">
        <v>296</v>
      </c>
      <c r="P2" s="373" t="s">
        <v>297</v>
      </c>
      <c r="Q2" s="374" t="s">
        <v>298</v>
      </c>
    </row>
    <row r="3" spans="1:17" ht="31.5" thickTop="1" thickBot="1" x14ac:dyDescent="0.3">
      <c r="A3" s="348" t="s">
        <v>299</v>
      </c>
      <c r="B3" s="356">
        <v>183</v>
      </c>
      <c r="C3" s="359">
        <v>549</v>
      </c>
      <c r="D3" s="362">
        <f>3*57</f>
        <v>171</v>
      </c>
      <c r="E3" s="365">
        <f>9*57</f>
        <v>513</v>
      </c>
      <c r="F3" s="362">
        <v>44</v>
      </c>
      <c r="G3" s="359">
        <v>44</v>
      </c>
      <c r="H3" s="362">
        <f>50*3</f>
        <v>150</v>
      </c>
      <c r="I3" s="365">
        <f>50*9</f>
        <v>450</v>
      </c>
      <c r="J3" s="362">
        <f>27*3</f>
        <v>81</v>
      </c>
      <c r="K3" s="359">
        <f>27*9</f>
        <v>243</v>
      </c>
      <c r="L3" s="362">
        <f>3*80</f>
        <v>240</v>
      </c>
      <c r="M3" s="365">
        <f>9*80</f>
        <v>720</v>
      </c>
      <c r="N3" s="362"/>
      <c r="O3" s="359"/>
      <c r="P3" s="353">
        <f>+B3+D3+F3+H3+J3+L3+N3</f>
        <v>869</v>
      </c>
      <c r="Q3" s="350">
        <f>+C3+E3+G3+I3+K3+M3+O3</f>
        <v>2519</v>
      </c>
    </row>
    <row r="4" spans="1:17" ht="31.5" thickTop="1" thickBot="1" x14ac:dyDescent="0.3">
      <c r="A4" s="348" t="s">
        <v>300</v>
      </c>
      <c r="B4" s="357">
        <v>195</v>
      </c>
      <c r="C4" s="360">
        <v>585</v>
      </c>
      <c r="D4" s="363">
        <v>171</v>
      </c>
      <c r="E4" s="366">
        <v>513</v>
      </c>
      <c r="F4" s="363"/>
      <c r="G4" s="360"/>
      <c r="H4" s="438">
        <f>50*3</f>
        <v>150</v>
      </c>
      <c r="I4" s="439">
        <f>50*9</f>
        <v>450</v>
      </c>
      <c r="J4" s="363">
        <f>27*3</f>
        <v>81</v>
      </c>
      <c r="K4" s="360">
        <f>27*9</f>
        <v>243</v>
      </c>
      <c r="L4" s="363">
        <f>80*3</f>
        <v>240</v>
      </c>
      <c r="M4" s="366">
        <f>80*9</f>
        <v>720</v>
      </c>
      <c r="N4" s="363">
        <f>54*3</f>
        <v>162</v>
      </c>
      <c r="O4" s="360">
        <f>54*9</f>
        <v>486</v>
      </c>
      <c r="P4" s="354">
        <f>+B4+B5+D4+D5+F4+F5+H4+J4+J5+L4+L5+N4+N5</f>
        <v>1199</v>
      </c>
      <c r="Q4" s="351">
        <f>+C4+C5+E4+E5+G4+G5+I4+K4+K5+M4+M5+O4+O5</f>
        <v>3867</v>
      </c>
    </row>
    <row r="5" spans="1:17" ht="46.5" thickTop="1" thickBot="1" x14ac:dyDescent="0.3">
      <c r="A5" s="348" t="s">
        <v>301</v>
      </c>
      <c r="B5" s="357">
        <v>140</v>
      </c>
      <c r="C5" s="360">
        <v>510</v>
      </c>
      <c r="D5" s="363"/>
      <c r="E5" s="366"/>
      <c r="F5" s="363">
        <v>60</v>
      </c>
      <c r="G5" s="360">
        <v>360</v>
      </c>
      <c r="H5" s="438"/>
      <c r="I5" s="439"/>
      <c r="J5" s="363"/>
      <c r="K5" s="360"/>
      <c r="L5" s="363"/>
      <c r="M5" s="366"/>
      <c r="N5" s="363"/>
      <c r="O5" s="360"/>
      <c r="P5" s="354"/>
      <c r="Q5" s="351"/>
    </row>
    <row r="6" spans="1:17" ht="31.5" thickTop="1" thickBot="1" x14ac:dyDescent="0.3">
      <c r="A6" s="348" t="s">
        <v>302</v>
      </c>
      <c r="B6" s="357">
        <v>252</v>
      </c>
      <c r="C6" s="360">
        <v>756</v>
      </c>
      <c r="D6" s="363">
        <v>171</v>
      </c>
      <c r="E6" s="366">
        <v>513</v>
      </c>
      <c r="F6" s="363">
        <v>121</v>
      </c>
      <c r="G6" s="360">
        <v>121</v>
      </c>
      <c r="H6" s="438">
        <f>50*3</f>
        <v>150</v>
      </c>
      <c r="I6" s="439">
        <f>50*9</f>
        <v>450</v>
      </c>
      <c r="J6" s="363">
        <f>30*3</f>
        <v>90</v>
      </c>
      <c r="K6" s="360">
        <f>30*9</f>
        <v>270</v>
      </c>
      <c r="L6" s="363">
        <f>80*3</f>
        <v>240</v>
      </c>
      <c r="M6" s="366">
        <f>80*9</f>
        <v>720</v>
      </c>
      <c r="N6" s="363">
        <f>54*3</f>
        <v>162</v>
      </c>
      <c r="O6" s="360">
        <f>54*9</f>
        <v>486</v>
      </c>
      <c r="P6" s="354">
        <f>+B6+B7+D6+D7+F6+F7+H6+J6+J7+L6+L7+N6+N7</f>
        <v>1386</v>
      </c>
      <c r="Q6" s="351">
        <f>+C6+C7+E6+E7+G6+G7+I6+K6+K7+M6+M7+O6+O7</f>
        <v>4186</v>
      </c>
    </row>
    <row r="7" spans="1:17" ht="46.5" thickTop="1" thickBot="1" x14ac:dyDescent="0.3">
      <c r="A7" s="348" t="s">
        <v>303</v>
      </c>
      <c r="B7" s="357">
        <v>140</v>
      </c>
      <c r="C7" s="360">
        <v>510</v>
      </c>
      <c r="D7" s="363"/>
      <c r="E7" s="366"/>
      <c r="F7" s="363">
        <v>60</v>
      </c>
      <c r="G7" s="360">
        <v>360</v>
      </c>
      <c r="H7" s="438"/>
      <c r="I7" s="439"/>
      <c r="J7" s="363"/>
      <c r="K7" s="360"/>
      <c r="L7" s="363"/>
      <c r="M7" s="366"/>
      <c r="N7" s="363"/>
      <c r="O7" s="360"/>
      <c r="P7" s="354"/>
      <c r="Q7" s="351"/>
    </row>
    <row r="8" spans="1:17" ht="31.5" thickTop="1" thickBot="1" x14ac:dyDescent="0.3">
      <c r="A8" s="348" t="s">
        <v>304</v>
      </c>
      <c r="B8" s="358">
        <v>162</v>
      </c>
      <c r="C8" s="361">
        <v>486</v>
      </c>
      <c r="D8" s="364">
        <v>171</v>
      </c>
      <c r="E8" s="367">
        <v>513</v>
      </c>
      <c r="F8" s="364">
        <v>33</v>
      </c>
      <c r="G8" s="361">
        <v>33</v>
      </c>
      <c r="H8" s="364">
        <f>10*3</f>
        <v>30</v>
      </c>
      <c r="I8" s="367">
        <f>10*9</f>
        <v>90</v>
      </c>
      <c r="J8" s="364">
        <f>30*3</f>
        <v>90</v>
      </c>
      <c r="K8" s="361">
        <f>30*9</f>
        <v>270</v>
      </c>
      <c r="L8" s="364">
        <f>20*3</f>
        <v>60</v>
      </c>
      <c r="M8" s="367">
        <f>20*9</f>
        <v>180</v>
      </c>
      <c r="N8" s="364">
        <f>54*3</f>
        <v>162</v>
      </c>
      <c r="O8" s="361">
        <f>54*9</f>
        <v>486</v>
      </c>
      <c r="P8" s="355">
        <f>+B8+D8+F8+H8+J8+L8+N8</f>
        <v>708</v>
      </c>
      <c r="Q8" s="352">
        <f>+C8+E8+G8+I8+K8+M8+O8</f>
        <v>2058</v>
      </c>
    </row>
    <row r="9" spans="1:17" ht="15.75" thickTop="1" x14ac:dyDescent="0.25"/>
    <row r="10" spans="1:17" x14ac:dyDescent="0.25">
      <c r="B10" s="372" t="s">
        <v>305</v>
      </c>
      <c r="C10" s="369" t="s">
        <v>562</v>
      </c>
      <c r="D10" s="370"/>
      <c r="E10" s="370"/>
      <c r="F10" s="370"/>
    </row>
    <row r="11" spans="1:17" x14ac:dyDescent="0.25">
      <c r="C11" s="371"/>
      <c r="D11" s="370"/>
      <c r="E11" s="370"/>
      <c r="F11" s="370"/>
    </row>
  </sheetData>
  <customSheetViews>
    <customSheetView guid="{D1BD168D-40B4-46AB-88B7-64C22520CFA0}">
      <selection sqref="A1:Q8"/>
      <pageMargins left="0.7" right="0.7" top="0.75" bottom="0.75" header="0.3" footer="0.3"/>
    </customSheetView>
    <customSheetView guid="{AD504361-49F3-4986-BDBF-FB73E2299976}">
      <selection sqref="A1:Q8"/>
      <pageMargins left="0.7" right="0.7" top="0.75" bottom="0.75" header="0.3" footer="0.3"/>
    </customSheetView>
    <customSheetView guid="{B426F9F8-EB1A-4D7B-9478-7E22D414CC12}" topLeftCell="G1">
      <selection activeCell="Q4" sqref="Q4"/>
      <pageMargins left="0.7" right="0.7" top="0.75" bottom="0.75" header="0.3" footer="0.3"/>
    </customSheetView>
    <customSheetView guid="{56BC42A3-D967-4F27-BD5A-CB0B8CB7F657}" topLeftCell="G1">
      <selection activeCell="Q4" sqref="Q4"/>
      <pageMargins left="0.7" right="0.7" top="0.75" bottom="0.75" header="0.3" footer="0.3"/>
    </customSheetView>
    <customSheetView guid="{77799D3C-38E2-410A-80FA-AECD8E6AB89B}" topLeftCell="G1">
      <selection activeCell="Q4" sqref="Q4"/>
      <pageMargins left="0.7" right="0.7" top="0.75" bottom="0.75" header="0.3" footer="0.3"/>
    </customSheetView>
    <customSheetView guid="{13EBDE9D-EC74-4522-9EED-363E735B4A78}" topLeftCell="G1">
      <selection activeCell="Q4" sqref="Q4"/>
      <pageMargins left="0.7" right="0.7" top="0.75" bottom="0.75" header="0.3" footer="0.3"/>
    </customSheetView>
  </customSheetViews>
  <mergeCells count="12">
    <mergeCell ref="H6:H7"/>
    <mergeCell ref="I6:I7"/>
    <mergeCell ref="P1:Q1"/>
    <mergeCell ref="H4:H5"/>
    <mergeCell ref="I4:I5"/>
    <mergeCell ref="L1:M1"/>
    <mergeCell ref="N1:O1"/>
    <mergeCell ref="B1:C1"/>
    <mergeCell ref="D1:E1"/>
    <mergeCell ref="F1:G1"/>
    <mergeCell ref="H1:I1"/>
    <mergeCell ref="J1:K1"/>
  </mergeCells>
  <pageMargins left="0.7" right="0.7" top="0.75" bottom="0.75" header="0.3" footer="0.3"/>
  <pageSetup paperSize="9"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N18" sqref="N18"/>
    </sheetView>
  </sheetViews>
  <sheetFormatPr defaultRowHeight="15" x14ac:dyDescent="0.25"/>
  <cols>
    <col min="1" max="1" width="10" bestFit="1" customWidth="1"/>
    <col min="4" max="4" width="14.7109375" bestFit="1" customWidth="1"/>
    <col min="14" max="14" width="12.28515625" customWidth="1"/>
  </cols>
  <sheetData>
    <row r="1" spans="1:14" x14ac:dyDescent="0.25">
      <c r="A1">
        <v>20882.318840579715</v>
      </c>
      <c r="D1">
        <v>107493</v>
      </c>
      <c r="I1">
        <v>2016</v>
      </c>
      <c r="J1">
        <v>33.799999999999997</v>
      </c>
    </row>
    <row r="2" spans="1:14" x14ac:dyDescent="0.25">
      <c r="A2" s="113">
        <f>(51460-A1)/51460</f>
        <v>0.5942028985507245</v>
      </c>
      <c r="D2">
        <v>31727</v>
      </c>
      <c r="G2">
        <v>270</v>
      </c>
      <c r="I2">
        <v>2017</v>
      </c>
      <c r="J2">
        <v>32.799999999999997</v>
      </c>
    </row>
    <row r="3" spans="1:14" x14ac:dyDescent="0.25">
      <c r="D3">
        <v>4222</v>
      </c>
      <c r="G3">
        <v>1135</v>
      </c>
      <c r="I3">
        <v>2018</v>
      </c>
      <c r="J3">
        <v>33.700000000000003</v>
      </c>
    </row>
    <row r="4" spans="1:14" x14ac:dyDescent="0.25">
      <c r="A4" s="114">
        <v>217867</v>
      </c>
      <c r="B4" t="s">
        <v>385</v>
      </c>
      <c r="D4" s="124">
        <v>143442</v>
      </c>
      <c r="G4">
        <f>SUM(G2:G3)</f>
        <v>1405</v>
      </c>
      <c r="I4">
        <v>2019</v>
      </c>
      <c r="J4">
        <v>32.5</v>
      </c>
    </row>
    <row r="5" spans="1:14" x14ac:dyDescent="0.25">
      <c r="A5" s="114" t="e">
        <f>A4+(#REF!+#REF!)*0.5</f>
        <v>#REF!</v>
      </c>
      <c r="J5">
        <f>J1-J2</f>
        <v>1</v>
      </c>
    </row>
    <row r="6" spans="1:14" x14ac:dyDescent="0.25">
      <c r="D6">
        <f>6527464*0.005</f>
        <v>32637.32</v>
      </c>
      <c r="J6">
        <f>J3-J4</f>
        <v>1.2000000000000028</v>
      </c>
    </row>
    <row r="7" spans="1:14" x14ac:dyDescent="0.25">
      <c r="J7">
        <f>AVERAGE(J5:J6)</f>
        <v>1.1000000000000014</v>
      </c>
    </row>
    <row r="8" spans="1:14" x14ac:dyDescent="0.25">
      <c r="A8" s="113" t="e">
        <f>#REF!/6527464</f>
        <v>#REF!</v>
      </c>
      <c r="D8">
        <v>13.8</v>
      </c>
      <c r="G8" s="126">
        <v>327211</v>
      </c>
    </row>
    <row r="9" spans="1:14" ht="15.75" thickBot="1" x14ac:dyDescent="0.3">
      <c r="D9">
        <v>12.7</v>
      </c>
      <c r="G9" s="127">
        <v>343320</v>
      </c>
    </row>
    <row r="10" spans="1:14" ht="15.75" thickBot="1" x14ac:dyDescent="0.3">
      <c r="A10" s="116">
        <v>234504</v>
      </c>
      <c r="D10">
        <v>12.7</v>
      </c>
      <c r="G10" s="119">
        <v>670531</v>
      </c>
    </row>
    <row r="11" spans="1:14" ht="15.75" thickBot="1" x14ac:dyDescent="0.3">
      <c r="A11" s="116">
        <v>9310</v>
      </c>
      <c r="D11">
        <v>13.9</v>
      </c>
    </row>
    <row r="12" spans="1:14" x14ac:dyDescent="0.25">
      <c r="A12" s="115">
        <f>A10/A11</f>
        <v>25.188399570354459</v>
      </c>
      <c r="D12">
        <f>D8-D9</f>
        <v>1.1000000000000014</v>
      </c>
    </row>
    <row r="13" spans="1:14" x14ac:dyDescent="0.25">
      <c r="A13" s="115"/>
      <c r="D13">
        <f>ABS(D10-D11)</f>
        <v>1.2000000000000011</v>
      </c>
    </row>
    <row r="14" spans="1:14" ht="15.75" thickBot="1" x14ac:dyDescent="0.3">
      <c r="A14" s="117">
        <v>572504</v>
      </c>
      <c r="B14" t="s">
        <v>386</v>
      </c>
      <c r="D14">
        <f>AVERAGE(D12:D13)</f>
        <v>1.1500000000000012</v>
      </c>
    </row>
    <row r="15" spans="1:14" ht="15.75" thickBot="1" x14ac:dyDescent="0.3">
      <c r="A15" s="116">
        <v>26813</v>
      </c>
    </row>
    <row r="16" spans="1:14" x14ac:dyDescent="0.25">
      <c r="A16" s="117">
        <v>91</v>
      </c>
      <c r="D16">
        <f>34000/(1)</f>
        <v>34000</v>
      </c>
      <c r="N16">
        <v>125279172.0055294</v>
      </c>
    </row>
    <row r="17" spans="1:14" x14ac:dyDescent="0.25">
      <c r="A17" s="118">
        <f>A14/(A15+A16)</f>
        <v>21.279512340172467</v>
      </c>
      <c r="N17">
        <v>84500000</v>
      </c>
    </row>
    <row r="18" spans="1:14" x14ac:dyDescent="0.25">
      <c r="D18">
        <v>53101</v>
      </c>
      <c r="E18">
        <f>D18+D19</f>
        <v>65417</v>
      </c>
      <c r="G18">
        <v>1421</v>
      </c>
      <c r="H18">
        <v>5000</v>
      </c>
      <c r="N18">
        <f>N16/N17</f>
        <v>1.4825937515447267</v>
      </c>
    </row>
    <row r="19" spans="1:14" x14ac:dyDescent="0.25">
      <c r="A19">
        <f>SUM(572504+26813+91)*0.1+572504*0.1</f>
        <v>117191.20000000001</v>
      </c>
      <c r="D19">
        <v>12316</v>
      </c>
      <c r="E19">
        <v>34000</v>
      </c>
      <c r="G19">
        <f>D18+D19</f>
        <v>65417</v>
      </c>
      <c r="H19">
        <v>65417</v>
      </c>
    </row>
    <row r="20" spans="1:14" x14ac:dyDescent="0.25">
      <c r="D20">
        <v>20050</v>
      </c>
      <c r="E20" s="113">
        <f>E19/E18</f>
        <v>0.51974257456012962</v>
      </c>
      <c r="G20" s="125">
        <f>G18/G19</f>
        <v>2.17221823073513E-2</v>
      </c>
      <c r="H20" s="125">
        <f>H18/H19</f>
        <v>7.6432731552960237E-2</v>
      </c>
    </row>
    <row r="21" spans="1:14" x14ac:dyDescent="0.25">
      <c r="A21">
        <v>2340</v>
      </c>
      <c r="D21" s="113">
        <f>D20/SUM(D18:D20)</f>
        <v>0.23459346882422455</v>
      </c>
    </row>
    <row r="22" spans="1:14" x14ac:dyDescent="0.25">
      <c r="A22" s="119">
        <f>467/A21*100</f>
        <v>19.957264957264957</v>
      </c>
    </row>
    <row r="24" spans="1:14" x14ac:dyDescent="0.25">
      <c r="A24">
        <v>3380569</v>
      </c>
      <c r="D24">
        <f>2242/D20</f>
        <v>0.11182044887780548</v>
      </c>
    </row>
    <row r="26" spans="1:14" x14ac:dyDescent="0.25">
      <c r="A26" s="120">
        <v>18750</v>
      </c>
      <c r="D26" s="114">
        <v>46000000</v>
      </c>
    </row>
    <row r="27" spans="1:14" x14ac:dyDescent="0.25">
      <c r="A27" s="120">
        <v>6000</v>
      </c>
      <c r="D27" s="114">
        <v>44000</v>
      </c>
    </row>
    <row r="28" spans="1:14" x14ac:dyDescent="0.25">
      <c r="A28" s="121">
        <v>335</v>
      </c>
      <c r="D28" s="114">
        <f>D26/D27</f>
        <v>1045.4545454545455</v>
      </c>
      <c r="E28">
        <f>D28*1.15</f>
        <v>1202.2727272727273</v>
      </c>
    </row>
    <row r="30" spans="1:14" x14ac:dyDescent="0.25">
      <c r="A30" s="120">
        <v>25000000</v>
      </c>
      <c r="D30" s="114">
        <v>83000000</v>
      </c>
    </row>
    <row r="31" spans="1:14" x14ac:dyDescent="0.25">
      <c r="A31" s="120">
        <v>23000000</v>
      </c>
      <c r="D31" s="114">
        <v>90000</v>
      </c>
    </row>
    <row r="32" spans="1:14" x14ac:dyDescent="0.25">
      <c r="A32" s="122">
        <v>8354271.2000000002</v>
      </c>
      <c r="D32">
        <f>D30/D31</f>
        <v>922.22222222222217</v>
      </c>
      <c r="F32">
        <v>20000</v>
      </c>
      <c r="G32">
        <v>10000</v>
      </c>
      <c r="H32" s="125">
        <f>F32*0.9/F33</f>
        <v>5.3245474356535842E-3</v>
      </c>
    </row>
    <row r="33" spans="1:9" x14ac:dyDescent="0.25">
      <c r="A33" s="123">
        <v>56354271.200000003</v>
      </c>
      <c r="F33">
        <v>3380569</v>
      </c>
      <c r="G33">
        <v>3380569</v>
      </c>
    </row>
    <row r="34" spans="1:9" x14ac:dyDescent="0.25">
      <c r="D34">
        <v>618</v>
      </c>
      <c r="F34" s="125">
        <f>F32/F33</f>
        <v>5.9161638173928707E-3</v>
      </c>
      <c r="G34" s="125">
        <f>G32/G33</f>
        <v>2.9580819086964354E-3</v>
      </c>
    </row>
    <row r="35" spans="1:9" x14ac:dyDescent="0.25">
      <c r="D35">
        <v>2500</v>
      </c>
    </row>
    <row r="36" spans="1:9" x14ac:dyDescent="0.25">
      <c r="D36" s="113">
        <f>D34/D35</f>
        <v>0.2472</v>
      </c>
    </row>
    <row r="45" spans="1:9" x14ac:dyDescent="0.25">
      <c r="C45">
        <v>68</v>
      </c>
    </row>
    <row r="46" spans="1:9" x14ac:dyDescent="0.25">
      <c r="C46">
        <v>67</v>
      </c>
      <c r="I46">
        <v>48142</v>
      </c>
    </row>
    <row r="47" spans="1:9" x14ac:dyDescent="0.25">
      <c r="C47">
        <v>65</v>
      </c>
      <c r="I47">
        <v>18271</v>
      </c>
    </row>
    <row r="48" spans="1:9" x14ac:dyDescent="0.25">
      <c r="C48">
        <v>70</v>
      </c>
      <c r="I48">
        <f>I47/I46*100</f>
        <v>37.952307756221174</v>
      </c>
    </row>
    <row r="49" spans="3:3" x14ac:dyDescent="0.25">
      <c r="C49">
        <f>AVERAGE(C45:C48)</f>
        <v>67.5</v>
      </c>
    </row>
  </sheetData>
  <customSheetViews>
    <customSheetView guid="{D1BD168D-40B4-46AB-88B7-64C22520CFA0}" state="hidden">
      <selection activeCell="N18" sqref="N18"/>
      <pageMargins left="0.7" right="0.7" top="0.75" bottom="0.75" header="0.3" footer="0.3"/>
      <pageSetup paperSize="9" orientation="portrait" horizontalDpi="0" verticalDpi="0" r:id="rId1"/>
    </customSheetView>
    <customSheetView guid="{AD504361-49F3-4986-BDBF-FB73E2299976}" state="hidden">
      <selection activeCell="N18" sqref="N18"/>
      <pageMargins left="0.7" right="0.7" top="0.75" bottom="0.75" header="0.3" footer="0.3"/>
      <pageSetup paperSize="9" orientation="portrait" horizontalDpi="0" verticalDpi="0" r:id="rId2"/>
    </customSheetView>
    <customSheetView guid="{B426F9F8-EB1A-4D7B-9478-7E22D414CC12}" state="hidden">
      <selection activeCell="N18" sqref="N18"/>
      <pageMargins left="0.7" right="0.7" top="0.75" bottom="0.75" header="0.3" footer="0.3"/>
      <pageSetup paperSize="9" orientation="portrait" horizontalDpi="0" verticalDpi="0" r:id="rId3"/>
    </customSheetView>
    <customSheetView guid="{56BC42A3-D967-4F27-BD5A-CB0B8CB7F657}" state="hidden">
      <selection activeCell="N18" sqref="N18"/>
      <pageMargins left="0.7" right="0.7" top="0.75" bottom="0.75" header="0.3" footer="0.3"/>
      <pageSetup paperSize="9" orientation="portrait" horizontalDpi="0" verticalDpi="0" r:id="rId4"/>
    </customSheetView>
    <customSheetView guid="{2A6315F5-C9A2-43A7-B337-00FD30A3EB26}" state="hidden">
      <selection activeCell="N18" sqref="N18"/>
      <pageMargins left="0.7" right="0.7" top="0.75" bottom="0.75" header="0.3" footer="0.3"/>
      <pageSetup paperSize="9" orientation="portrait" horizontalDpi="0" verticalDpi="0" r:id="rId5"/>
    </customSheetView>
    <customSheetView guid="{E07B67F4-8A17-4050-B9B8-81977BCB02E2}" state="hidden">
      <selection activeCell="N18" sqref="N18"/>
      <pageMargins left="0.7" right="0.7" top="0.75" bottom="0.75" header="0.3" footer="0.3"/>
      <pageSetup paperSize="9" orientation="portrait" horizontalDpi="0" verticalDpi="0" r:id="rId6"/>
    </customSheetView>
    <customSheetView guid="{9CD5F6CE-0E1C-42DA-A598-93523B740CBC}" state="hidden">
      <selection activeCell="N18" sqref="N18"/>
      <pageMargins left="0.7" right="0.7" top="0.75" bottom="0.75" header="0.3" footer="0.3"/>
      <pageSetup paperSize="9" orientation="portrait" horizontalDpi="0" verticalDpi="0" r:id="rId7"/>
    </customSheetView>
    <customSheetView guid="{72B67681-E295-44ED-80A6-F4B618B242B1}" state="hidden">
      <selection activeCell="N18" sqref="N18"/>
    </customSheetView>
    <customSheetView guid="{32A281B9-28FB-4D0E-8C01-BFBADAC8C3C9}" state="hidden">
      <selection activeCell="N18" sqref="N18"/>
      <pageMargins left="0.7" right="0.7" top="0.75" bottom="0.75" header="0.3" footer="0.3"/>
      <pageSetup paperSize="9" orientation="portrait" horizontalDpi="0" verticalDpi="0" r:id="rId8"/>
    </customSheetView>
    <customSheetView guid="{77799D3C-38E2-410A-80FA-AECD8E6AB89B}" state="hidden">
      <selection activeCell="N18" sqref="N18"/>
      <pageMargins left="0.7" right="0.7" top="0.75" bottom="0.75" header="0.3" footer="0.3"/>
      <pageSetup paperSize="9" orientation="portrait" horizontalDpi="0" verticalDpi="0" r:id="rId9"/>
    </customSheetView>
    <customSheetView guid="{13EBDE9D-EC74-4522-9EED-363E735B4A78}" state="hidden">
      <selection activeCell="N18" sqref="N18"/>
      <pageMargins left="0.7" right="0.7" top="0.75" bottom="0.75" header="0.3" footer="0.3"/>
      <pageSetup paperSize="9" orientation="portrait" horizontalDpi="0" verticalDpi="0" r:id="rId10"/>
    </customSheetView>
  </customSheetViews>
  <pageMargins left="0.7" right="0.7" top="0.75" bottom="0.75" header="0.3" footer="0.3"/>
  <pageSetup paperSize="9" orientation="portrait" horizontalDpi="0" verticalDpi="0"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16"/>
  <sheetViews>
    <sheetView view="pageBreakPreview" zoomScale="85" zoomScaleNormal="100" zoomScaleSheetLayoutView="85" workbookViewId="0">
      <pane ySplit="2" topLeftCell="A9" activePane="bottomLeft" state="frozen"/>
      <selection pane="bottomLeft" activeCell="C3" sqref="C3:C16"/>
    </sheetView>
  </sheetViews>
  <sheetFormatPr defaultColWidth="21.42578125" defaultRowHeight="12" x14ac:dyDescent="0.25"/>
  <cols>
    <col min="1" max="1" width="16.42578125" style="2" customWidth="1"/>
    <col min="2" max="2" width="14" style="2" customWidth="1"/>
    <col min="3" max="3" width="17.140625" style="2" customWidth="1"/>
    <col min="4" max="4" width="14.28515625" style="2" bestFit="1" customWidth="1"/>
    <col min="5" max="5" width="44.28515625" style="2" customWidth="1"/>
    <col min="6" max="6" width="41.5703125" style="2" customWidth="1"/>
    <col min="7" max="8" width="14.7109375" style="4" customWidth="1"/>
    <col min="9" max="9" width="36.28515625" style="2" customWidth="1"/>
    <col min="10" max="10" width="10.7109375" style="36" customWidth="1"/>
    <col min="11" max="11" width="34.140625" style="2" customWidth="1"/>
    <col min="12" max="12" width="7.5703125" style="4" customWidth="1"/>
    <col min="13" max="16384" width="21.42578125" style="2"/>
  </cols>
  <sheetData>
    <row r="1" spans="1:12" s="4" customFormat="1" x14ac:dyDescent="0.25">
      <c r="A1" s="14">
        <v>2</v>
      </c>
      <c r="B1" s="14">
        <v>3</v>
      </c>
      <c r="C1" s="14">
        <v>6</v>
      </c>
      <c r="D1" s="14">
        <v>7</v>
      </c>
      <c r="E1" s="14">
        <v>8</v>
      </c>
      <c r="F1" s="14"/>
      <c r="G1" s="14"/>
      <c r="H1" s="14"/>
      <c r="I1" s="14">
        <v>9</v>
      </c>
      <c r="J1" s="26"/>
      <c r="K1" s="14">
        <v>10</v>
      </c>
      <c r="L1" s="14"/>
    </row>
    <row r="2" spans="1:12" s="3" customFormat="1" ht="72" x14ac:dyDescent="0.25">
      <c r="A2" s="1" t="s">
        <v>387</v>
      </c>
      <c r="B2" s="1" t="s">
        <v>388</v>
      </c>
      <c r="C2" s="1" t="s">
        <v>389</v>
      </c>
      <c r="D2" s="1" t="s">
        <v>390</v>
      </c>
      <c r="E2" s="1" t="s">
        <v>391</v>
      </c>
      <c r="F2" s="1" t="s">
        <v>392</v>
      </c>
      <c r="G2" s="1" t="s">
        <v>393</v>
      </c>
      <c r="H2" s="1" t="s">
        <v>394</v>
      </c>
      <c r="I2" s="14" t="s">
        <v>395</v>
      </c>
      <c r="J2" s="27" t="s">
        <v>396</v>
      </c>
      <c r="K2" s="1" t="s">
        <v>397</v>
      </c>
      <c r="L2" s="14" t="s">
        <v>398</v>
      </c>
    </row>
    <row r="3" spans="1:12" ht="108" x14ac:dyDescent="0.25">
      <c r="A3" s="442" t="s">
        <v>399</v>
      </c>
      <c r="B3" s="442" t="s">
        <v>400</v>
      </c>
      <c r="C3" s="445" t="s">
        <v>401</v>
      </c>
      <c r="D3" s="442" t="s">
        <v>402</v>
      </c>
      <c r="E3" s="22" t="s">
        <v>403</v>
      </c>
      <c r="F3" s="19" t="s">
        <v>404</v>
      </c>
      <c r="G3" s="78">
        <f>G5-G4</f>
        <v>83218211.999999955</v>
      </c>
      <c r="H3" s="78">
        <f>20/100*G3</f>
        <v>16643642.399999991</v>
      </c>
      <c r="I3" s="8" t="s">
        <v>405</v>
      </c>
      <c r="J3" s="30">
        <f>80/100*60/100*G5</f>
        <v>45391751.999999978</v>
      </c>
      <c r="K3" s="9" t="s">
        <v>406</v>
      </c>
      <c r="L3" s="88">
        <f>(224+93)/14*1.15*15</f>
        <v>390.58928571428567</v>
      </c>
    </row>
    <row r="4" spans="1:12" ht="60" customHeight="1" x14ac:dyDescent="0.25">
      <c r="A4" s="443"/>
      <c r="B4" s="443"/>
      <c r="C4" s="446"/>
      <c r="D4" s="443"/>
      <c r="E4" s="6"/>
      <c r="F4" s="6" t="s">
        <v>407</v>
      </c>
      <c r="G4" s="78">
        <f>20/100*60/100*G5</f>
        <v>11347937.999999994</v>
      </c>
      <c r="H4" s="78"/>
      <c r="I4" s="42"/>
      <c r="J4" s="85">
        <f>60/100*G5-J3-G4</f>
        <v>0</v>
      </c>
      <c r="K4" s="9"/>
      <c r="L4" s="38"/>
    </row>
    <row r="5" spans="1:12" x14ac:dyDescent="0.25">
      <c r="A5" s="443"/>
      <c r="B5" s="443"/>
      <c r="C5" s="446"/>
      <c r="D5" s="443"/>
      <c r="E5" s="8"/>
      <c r="F5" s="41" t="s">
        <v>408</v>
      </c>
      <c r="G5" s="82">
        <f>60/100*'ОПНО_визия евро'!C5</f>
        <v>94566149.999999955</v>
      </c>
      <c r="H5" s="78"/>
      <c r="I5" s="7"/>
      <c r="J5" s="31"/>
      <c r="K5" s="9"/>
      <c r="L5" s="39"/>
    </row>
    <row r="6" spans="1:12" ht="82.5" customHeight="1" x14ac:dyDescent="0.25">
      <c r="A6" s="443"/>
      <c r="B6" s="443"/>
      <c r="C6" s="446"/>
      <c r="D6" s="443"/>
      <c r="E6" s="24" t="s">
        <v>409</v>
      </c>
      <c r="F6" s="17" t="s">
        <v>410</v>
      </c>
      <c r="G6" s="82">
        <f>30/100*'ОПНО_визия евро'!C5</f>
        <v>47283074.999999978</v>
      </c>
      <c r="H6" s="82">
        <f>'ОПНО_визия евро'!B5-П3_Наука_Инфраструктура!H3-П3_Наука_Инфраструктура!H11</f>
        <v>5421792.6000000015</v>
      </c>
      <c r="I6" s="21" t="s">
        <v>411</v>
      </c>
      <c r="J6" s="32">
        <f>(210+359)/14*1.15*15</f>
        <v>701.08928571428567</v>
      </c>
      <c r="K6" s="9" t="s">
        <v>412</v>
      </c>
      <c r="L6" s="28">
        <f>(30+224)/14*1.15*15</f>
        <v>312.96428571428567</v>
      </c>
    </row>
    <row r="7" spans="1:12" ht="36" x14ac:dyDescent="0.25">
      <c r="A7" s="443"/>
      <c r="B7" s="443"/>
      <c r="C7" s="446"/>
      <c r="D7" s="444"/>
      <c r="E7" s="24" t="s">
        <v>413</v>
      </c>
      <c r="F7" s="19"/>
      <c r="G7" s="29"/>
      <c r="H7" s="29"/>
      <c r="I7" s="23" t="s">
        <v>414</v>
      </c>
      <c r="J7" s="33">
        <v>15</v>
      </c>
      <c r="K7" s="9"/>
      <c r="L7" s="37"/>
    </row>
    <row r="8" spans="1:12" ht="60" x14ac:dyDescent="0.25">
      <c r="A8" s="443"/>
      <c r="B8" s="443"/>
      <c r="C8" s="446"/>
      <c r="D8" s="444"/>
      <c r="E8" s="19" t="s">
        <v>415</v>
      </c>
      <c r="F8" s="19"/>
      <c r="G8" s="29"/>
      <c r="H8" s="29"/>
      <c r="I8" s="21"/>
      <c r="J8" s="34"/>
      <c r="K8" s="9"/>
      <c r="L8" s="39"/>
    </row>
    <row r="9" spans="1:12" ht="60" x14ac:dyDescent="0.25">
      <c r="A9" s="443"/>
      <c r="B9" s="443"/>
      <c r="C9" s="446"/>
      <c r="D9" s="444"/>
      <c r="E9" s="19" t="s">
        <v>416</v>
      </c>
      <c r="F9" s="19"/>
      <c r="G9" s="29"/>
      <c r="H9" s="29"/>
      <c r="I9" s="21"/>
      <c r="J9" s="34"/>
      <c r="K9" s="9"/>
      <c r="L9" s="39"/>
    </row>
    <row r="10" spans="1:12" ht="60" x14ac:dyDescent="0.25">
      <c r="A10" s="443"/>
      <c r="B10" s="443"/>
      <c r="C10" s="446"/>
      <c r="D10" s="444"/>
      <c r="E10" s="20" t="s">
        <v>417</v>
      </c>
      <c r="F10" s="19"/>
      <c r="G10" s="29"/>
      <c r="H10" s="22"/>
      <c r="I10" s="21"/>
      <c r="J10" s="35"/>
      <c r="K10" s="9"/>
      <c r="L10" s="38"/>
    </row>
    <row r="11" spans="1:12" ht="48" x14ac:dyDescent="0.25">
      <c r="A11" s="443"/>
      <c r="B11" s="443"/>
      <c r="C11" s="446"/>
      <c r="D11" s="444"/>
      <c r="E11" s="24" t="s">
        <v>418</v>
      </c>
      <c r="F11" s="17" t="s">
        <v>419</v>
      </c>
      <c r="G11" s="82">
        <f>10/100*'ОПНО_визия евро'!C5</f>
        <v>15761024.999999994</v>
      </c>
      <c r="H11" s="83">
        <f>60/100*G11</f>
        <v>9456614.9999999963</v>
      </c>
      <c r="I11" s="15" t="s">
        <v>420</v>
      </c>
      <c r="J11" s="35">
        <f>15*3</f>
        <v>45</v>
      </c>
      <c r="K11" s="9" t="s">
        <v>421</v>
      </c>
      <c r="L11" s="88">
        <f>50/100*L6</f>
        <v>156.48214285714283</v>
      </c>
    </row>
    <row r="12" spans="1:12" ht="24" x14ac:dyDescent="0.25">
      <c r="A12" s="443"/>
      <c r="B12" s="443"/>
      <c r="C12" s="446"/>
      <c r="D12" s="444"/>
      <c r="E12" s="19" t="s">
        <v>422</v>
      </c>
      <c r="F12" s="19"/>
      <c r="G12" s="29"/>
      <c r="H12" s="40"/>
      <c r="I12" s="16"/>
      <c r="J12" s="33"/>
      <c r="K12" s="9"/>
      <c r="L12" s="39"/>
    </row>
    <row r="13" spans="1:12" ht="84" x14ac:dyDescent="0.25">
      <c r="A13" s="443"/>
      <c r="B13" s="443"/>
      <c r="C13" s="446"/>
      <c r="D13" s="444"/>
      <c r="E13" s="19" t="s">
        <v>423</v>
      </c>
      <c r="F13" s="19"/>
      <c r="G13" s="29"/>
      <c r="H13" s="40"/>
      <c r="I13" s="21"/>
      <c r="J13" s="34"/>
      <c r="K13" s="9"/>
      <c r="L13" s="39"/>
    </row>
    <row r="14" spans="1:12" x14ac:dyDescent="0.25">
      <c r="A14" s="443"/>
      <c r="B14" s="443"/>
      <c r="C14" s="446"/>
      <c r="D14" s="444"/>
      <c r="E14" s="19" t="s">
        <v>424</v>
      </c>
      <c r="F14" s="19"/>
      <c r="G14" s="29"/>
      <c r="H14" s="40"/>
      <c r="I14" s="21"/>
      <c r="J14" s="34"/>
      <c r="K14" s="9"/>
      <c r="L14" s="39"/>
    </row>
    <row r="15" spans="1:12" x14ac:dyDescent="0.25">
      <c r="A15" s="443"/>
      <c r="B15" s="443"/>
      <c r="C15" s="446"/>
      <c r="D15" s="444"/>
      <c r="E15" s="18" t="s">
        <v>425</v>
      </c>
      <c r="F15" s="81"/>
      <c r="G15" s="39"/>
      <c r="H15" s="84"/>
      <c r="I15" s="25"/>
      <c r="J15" s="34"/>
      <c r="K15" s="9"/>
      <c r="L15" s="38"/>
    </row>
    <row r="16" spans="1:12" ht="48" x14ac:dyDescent="0.25">
      <c r="A16" s="447"/>
      <c r="B16" s="447"/>
      <c r="C16" s="446"/>
      <c r="D16" s="443"/>
      <c r="E16" s="79" t="s">
        <v>426</v>
      </c>
      <c r="F16" s="20"/>
      <c r="G16" s="22"/>
      <c r="H16" s="80"/>
      <c r="I16" s="25" t="s">
        <v>427</v>
      </c>
      <c r="J16" s="32">
        <f>15*1</f>
        <v>15</v>
      </c>
      <c r="K16" s="9"/>
      <c r="L16" s="39"/>
    </row>
  </sheetData>
  <customSheetViews>
    <customSheetView guid="{D1BD168D-40B4-46AB-88B7-64C22520CFA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
    </customSheetView>
    <customSheetView guid="{AD504361-49F3-4986-BDBF-FB73E229997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2"/>
    </customSheetView>
    <customSheetView guid="{B426F9F8-EB1A-4D7B-9478-7E22D414CC1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3"/>
    </customSheetView>
    <customSheetView guid="{56BC42A3-D967-4F27-BD5A-CB0B8CB7F657}"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4"/>
    </customSheetView>
    <customSheetView guid="{2A6315F5-C9A2-43A7-B337-00FD30A3EB2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5"/>
    </customSheetView>
    <customSheetView guid="{E07B67F4-8A17-4050-B9B8-81977BCB02E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6"/>
    </customSheetView>
    <customSheetView guid="{9CD5F6CE-0E1C-42DA-A598-93523B740CB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7"/>
    </customSheetView>
    <customSheetView guid="{72B67681-E295-44ED-80A6-F4B618B242B1}" scale="85" showPageBreaks="1" state="hidden" view="pageBreakPreview">
      <pane ySplit="2" topLeftCell="A9" activePane="bottomLeft" state="frozen"/>
      <selection pane="bottomLeft" activeCell="C3" sqref="C3:C16"/>
    </customSheetView>
    <customSheetView guid="{32A281B9-28FB-4D0E-8C01-BFBADAC8C3C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8"/>
    </customSheetView>
    <customSheetView guid="{77799D3C-38E2-410A-80FA-AECD8E6AB89B}"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9"/>
    </customSheetView>
    <customSheetView guid="{13EBDE9D-EC74-4522-9EED-363E735B4A7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0"/>
    </customSheetView>
  </customSheetViews>
  <mergeCells count="4">
    <mergeCell ref="D3:D16"/>
    <mergeCell ref="C3:C16"/>
    <mergeCell ref="B3:B16"/>
    <mergeCell ref="A3:A16"/>
  </mergeCells>
  <pageMargins left="0.7" right="0.7" top="0.75" bottom="0.75" header="0.3" footer="0.3"/>
  <pageSetup paperSize="9" scale="49" orientation="landscape"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1"/>
  <sheetViews>
    <sheetView view="pageBreakPreview" zoomScale="90" zoomScaleNormal="100" zoomScaleSheetLayoutView="90" workbookViewId="0">
      <pane ySplit="2" topLeftCell="A3" activePane="bottomLeft" state="frozen"/>
      <selection pane="bottomLeft" activeCell="C3" sqref="C3:C13"/>
    </sheetView>
  </sheetViews>
  <sheetFormatPr defaultColWidth="21.42578125" defaultRowHeight="15" x14ac:dyDescent="0.25"/>
  <cols>
    <col min="1" max="1" width="84.140625" style="2" bestFit="1" customWidth="1"/>
    <col min="2" max="2" width="22" style="2" bestFit="1" customWidth="1"/>
    <col min="3" max="3" width="12.85546875" style="2" bestFit="1" customWidth="1"/>
    <col min="4" max="4" width="21.140625" style="2" bestFit="1" customWidth="1"/>
    <col min="5" max="5" width="51.5703125" style="2" bestFit="1" customWidth="1"/>
    <col min="6" max="6" width="47.28515625" style="2" bestFit="1" customWidth="1"/>
    <col min="7" max="7" width="13.7109375" style="2" customWidth="1"/>
    <col min="8" max="8" width="12.7109375" style="2" customWidth="1"/>
    <col min="9" max="9" width="31" style="2" bestFit="1" customWidth="1"/>
    <col min="10" max="10" width="9" style="2" bestFit="1" customWidth="1"/>
    <col min="11" max="11" width="22.7109375" style="2" bestFit="1" customWidth="1"/>
    <col min="12" max="12" width="9" style="2" bestFit="1" customWidth="1"/>
    <col min="13" max="13" width="21.28515625" style="2" customWidth="1"/>
    <col min="14" max="14" width="21.42578125" style="5"/>
    <col min="15" max="16384" width="21.42578125" style="2"/>
  </cols>
  <sheetData>
    <row r="1" spans="1:14" s="4" customFormat="1" ht="12" x14ac:dyDescent="0.25">
      <c r="A1" s="1">
        <v>2</v>
      </c>
      <c r="B1" s="1">
        <v>3</v>
      </c>
      <c r="C1" s="1">
        <v>6</v>
      </c>
      <c r="D1" s="1">
        <v>7</v>
      </c>
      <c r="E1" s="1">
        <v>8</v>
      </c>
      <c r="F1" s="1">
        <v>9</v>
      </c>
      <c r="G1" s="1">
        <v>10</v>
      </c>
      <c r="H1" s="1"/>
      <c r="I1" s="1">
        <v>11</v>
      </c>
      <c r="J1" s="1">
        <v>12</v>
      </c>
      <c r="K1" s="1">
        <v>13</v>
      </c>
      <c r="L1" s="1">
        <v>14</v>
      </c>
      <c r="M1" s="1">
        <v>15</v>
      </c>
    </row>
    <row r="2" spans="1:14" s="4" customFormat="1" ht="72" x14ac:dyDescent="0.25">
      <c r="A2" s="1" t="s">
        <v>428</v>
      </c>
      <c r="B2" s="1" t="s">
        <v>429</v>
      </c>
      <c r="C2" s="1" t="s">
        <v>430</v>
      </c>
      <c r="D2" s="1" t="s">
        <v>431</v>
      </c>
      <c r="E2" s="1" t="s">
        <v>432</v>
      </c>
      <c r="F2" s="1" t="s">
        <v>433</v>
      </c>
      <c r="G2" s="1" t="s">
        <v>434</v>
      </c>
      <c r="H2" s="1" t="s">
        <v>435</v>
      </c>
      <c r="I2" s="1" t="s">
        <v>436</v>
      </c>
      <c r="J2" s="1" t="s">
        <v>437</v>
      </c>
      <c r="K2" s="14" t="s">
        <v>438</v>
      </c>
      <c r="L2" s="14" t="s">
        <v>439</v>
      </c>
      <c r="M2" s="14" t="s">
        <v>440</v>
      </c>
    </row>
    <row r="3" spans="1:14" ht="72" customHeight="1" x14ac:dyDescent="0.25">
      <c r="A3" s="448" t="s">
        <v>441</v>
      </c>
      <c r="B3" s="457" t="s">
        <v>442</v>
      </c>
      <c r="C3" s="454" t="s">
        <v>443</v>
      </c>
      <c r="D3" s="451" t="str">
        <f>П3_Наука_Инфраструктура!$D$3</f>
        <v>Специфична цел i) Засилване на капацитета за научни изследвания и иновации и на въвеждането на модерни технологии</v>
      </c>
      <c r="E3" s="24" t="s">
        <v>444</v>
      </c>
      <c r="F3" s="17" t="s">
        <v>445</v>
      </c>
      <c r="G3" s="82">
        <f>G14-G8</f>
        <v>63044099.999999985</v>
      </c>
      <c r="H3" s="82">
        <f>20/100*G14-H8</f>
        <v>1801260</v>
      </c>
      <c r="I3" s="21" t="s">
        <v>446</v>
      </c>
      <c r="J3" s="102">
        <f>G14/70*100/3500000*10</f>
        <v>367.60408163265299</v>
      </c>
      <c r="K3" s="103" t="s">
        <v>447</v>
      </c>
      <c r="L3" s="104">
        <f>H20</f>
        <v>233.42859183673463</v>
      </c>
      <c r="M3" s="445" t="s">
        <v>448</v>
      </c>
      <c r="N3" s="2"/>
    </row>
    <row r="4" spans="1:14" ht="36" x14ac:dyDescent="0.25">
      <c r="A4" s="444"/>
      <c r="B4" s="458"/>
      <c r="C4" s="455"/>
      <c r="D4" s="452"/>
      <c r="E4" s="24" t="s">
        <v>449</v>
      </c>
      <c r="F4" s="19"/>
      <c r="G4" s="29"/>
      <c r="H4" s="29"/>
      <c r="I4" s="23" t="s">
        <v>450</v>
      </c>
      <c r="J4" s="100">
        <v>15</v>
      </c>
      <c r="K4" s="81"/>
      <c r="L4" s="105"/>
      <c r="M4" s="446"/>
      <c r="N4" s="2"/>
    </row>
    <row r="5" spans="1:14" ht="24" x14ac:dyDescent="0.25">
      <c r="A5" s="444"/>
      <c r="B5" s="458"/>
      <c r="C5" s="455"/>
      <c r="D5" s="452"/>
      <c r="E5" s="19" t="s">
        <v>451</v>
      </c>
      <c r="F5" s="19"/>
      <c r="G5" s="29"/>
      <c r="H5" s="29"/>
      <c r="I5" s="21"/>
      <c r="J5" s="101"/>
      <c r="K5" s="81"/>
      <c r="L5" s="105"/>
      <c r="M5" s="446"/>
      <c r="N5" s="2"/>
    </row>
    <row r="6" spans="1:14" ht="48" x14ac:dyDescent="0.25">
      <c r="A6" s="444"/>
      <c r="B6" s="458"/>
      <c r="C6" s="455"/>
      <c r="D6" s="452"/>
      <c r="E6" s="19" t="s">
        <v>452</v>
      </c>
      <c r="F6" s="19"/>
      <c r="G6" s="29"/>
      <c r="H6" s="29"/>
      <c r="I6" s="21"/>
      <c r="J6" s="101"/>
      <c r="K6" s="81"/>
      <c r="L6" s="105"/>
      <c r="M6" s="446"/>
      <c r="N6" s="2"/>
    </row>
    <row r="7" spans="1:14" ht="48" x14ac:dyDescent="0.25">
      <c r="A7" s="444"/>
      <c r="B7" s="458"/>
      <c r="C7" s="455"/>
      <c r="D7" s="452"/>
      <c r="E7" s="20" t="s">
        <v>453</v>
      </c>
      <c r="F7" s="19"/>
      <c r="G7" s="29"/>
      <c r="H7" s="22"/>
      <c r="I7" s="21"/>
      <c r="J7" s="99"/>
      <c r="K7" s="18"/>
      <c r="L7" s="105"/>
      <c r="M7" s="446"/>
      <c r="N7" s="2"/>
    </row>
    <row r="8" spans="1:14" ht="36" x14ac:dyDescent="0.25">
      <c r="A8" s="444"/>
      <c r="B8" s="458"/>
      <c r="C8" s="455"/>
      <c r="D8" s="452"/>
      <c r="E8" s="24" t="s">
        <v>454</v>
      </c>
      <c r="F8" s="17" t="s">
        <v>455</v>
      </c>
      <c r="G8" s="82">
        <f>30/100*G14</f>
        <v>27018899.999999996</v>
      </c>
      <c r="H8" s="83">
        <f>60/100*G8</f>
        <v>16211339.999999996</v>
      </c>
      <c r="I8" s="15" t="s">
        <v>456</v>
      </c>
      <c r="J8" s="99">
        <f>37*1</f>
        <v>37</v>
      </c>
      <c r="K8" s="81" t="s">
        <v>457</v>
      </c>
      <c r="L8" s="106">
        <f>50/100*L3</f>
        <v>116.71429591836731</v>
      </c>
      <c r="M8" s="446"/>
      <c r="N8" s="2"/>
    </row>
    <row r="9" spans="1:14" ht="24" x14ac:dyDescent="0.25">
      <c r="A9" s="444"/>
      <c r="B9" s="458"/>
      <c r="C9" s="455"/>
      <c r="D9" s="452"/>
      <c r="E9" s="19" t="s">
        <v>458</v>
      </c>
      <c r="F9" s="19"/>
      <c r="G9" s="29"/>
      <c r="H9" s="40"/>
      <c r="I9" s="16"/>
      <c r="J9" s="100"/>
      <c r="K9" s="81"/>
      <c r="L9" s="105"/>
      <c r="M9" s="446"/>
    </row>
    <row r="10" spans="1:14" ht="60" x14ac:dyDescent="0.25">
      <c r="A10" s="444"/>
      <c r="B10" s="458"/>
      <c r="C10" s="455"/>
      <c r="D10" s="452"/>
      <c r="E10" s="19" t="s">
        <v>459</v>
      </c>
      <c r="F10" s="19"/>
      <c r="G10" s="29"/>
      <c r="H10" s="40"/>
      <c r="I10" s="21"/>
      <c r="J10" s="101"/>
      <c r="K10" s="81"/>
      <c r="L10" s="105"/>
      <c r="M10" s="446"/>
    </row>
    <row r="11" spans="1:14" x14ac:dyDescent="0.25">
      <c r="A11" s="444"/>
      <c r="B11" s="458"/>
      <c r="C11" s="455"/>
      <c r="D11" s="452"/>
      <c r="E11" s="19" t="s">
        <v>460</v>
      </c>
      <c r="F11" s="19"/>
      <c r="G11" s="29"/>
      <c r="H11" s="40"/>
      <c r="I11" s="21"/>
      <c r="J11" s="101"/>
      <c r="K11" s="81"/>
      <c r="L11" s="105"/>
      <c r="M11" s="446"/>
    </row>
    <row r="12" spans="1:14" x14ac:dyDescent="0.25">
      <c r="A12" s="444"/>
      <c r="B12" s="458"/>
      <c r="C12" s="455"/>
      <c r="D12" s="452"/>
      <c r="E12" s="18" t="s">
        <v>461</v>
      </c>
      <c r="F12" s="81"/>
      <c r="G12" s="39"/>
      <c r="H12" s="84"/>
      <c r="I12" s="25"/>
      <c r="J12" s="101"/>
      <c r="K12" s="81"/>
      <c r="L12" s="105"/>
      <c r="M12" s="446"/>
    </row>
    <row r="13" spans="1:14" x14ac:dyDescent="0.25">
      <c r="A13" s="449"/>
      <c r="B13" s="459"/>
      <c r="C13" s="456"/>
      <c r="D13" s="453"/>
      <c r="E13" s="79" t="s">
        <v>462</v>
      </c>
      <c r="F13" s="20"/>
      <c r="G13" s="22"/>
      <c r="H13" s="80"/>
      <c r="I13" s="25" t="s">
        <v>463</v>
      </c>
      <c r="J13" s="102">
        <f>37*1</f>
        <v>37</v>
      </c>
      <c r="K13" s="18"/>
      <c r="L13" s="107"/>
      <c r="M13" s="450"/>
    </row>
    <row r="14" spans="1:14" x14ac:dyDescent="0.25">
      <c r="F14" s="4" t="s">
        <v>464</v>
      </c>
      <c r="G14" s="89">
        <f>'ОПНО_визия евро'!C6</f>
        <v>90062999.999999985</v>
      </c>
    </row>
    <row r="17" spans="6:8" ht="15.75" thickBot="1" x14ac:dyDescent="0.3"/>
    <row r="18" spans="6:8" x14ac:dyDescent="0.25">
      <c r="F18" s="91" t="s">
        <v>465</v>
      </c>
      <c r="G18" s="92">
        <f>0.4*350000000</f>
        <v>140000000</v>
      </c>
      <c r="H18" s="92">
        <f>(30+224)</f>
        <v>254</v>
      </c>
    </row>
    <row r="19" spans="6:8" x14ac:dyDescent="0.25">
      <c r="F19" s="96" t="s">
        <v>466</v>
      </c>
      <c r="G19" s="108">
        <f>G14/70*100</f>
        <v>128661428.57142854</v>
      </c>
      <c r="H19" s="93"/>
    </row>
    <row r="20" spans="6:8" ht="15.75" thickBot="1" x14ac:dyDescent="0.3">
      <c r="F20" s="94"/>
      <c r="G20" s="95">
        <f>G19/G18</f>
        <v>0.91901020408163236</v>
      </c>
      <c r="H20" s="98">
        <f>H18*G20</f>
        <v>233.42859183673463</v>
      </c>
    </row>
    <row r="21" spans="6:8" x14ac:dyDescent="0.25">
      <c r="F21" s="2" t="s">
        <v>467</v>
      </c>
      <c r="G21" s="109">
        <f>G19/3500000</f>
        <v>36.760408163265296</v>
      </c>
    </row>
  </sheetData>
  <customSheetViews>
    <customSheetView guid="{D1BD168D-40B4-46AB-88B7-64C22520CFA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
    </customSheetView>
    <customSheetView guid="{AD504361-49F3-4986-BDBF-FB73E229997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2"/>
    </customSheetView>
    <customSheetView guid="{B426F9F8-EB1A-4D7B-9478-7E22D414CC1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3"/>
    </customSheetView>
    <customSheetView guid="{56BC42A3-D967-4F27-BD5A-CB0B8CB7F657}"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4"/>
    </customSheetView>
    <customSheetView guid="{2A6315F5-C9A2-43A7-B337-00FD30A3EB2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5"/>
    </customSheetView>
    <customSheetView guid="{E07B67F4-8A17-4050-B9B8-81977BCB02E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6"/>
    </customSheetView>
    <customSheetView guid="{9CD5F6CE-0E1C-42DA-A598-93523B740CB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7"/>
    </customSheetView>
    <customSheetView guid="{72B67681-E295-44ED-80A6-F4B618B242B1}" scale="90" showPageBreaks="1" state="hidden" view="pageBreakPreview">
      <pane ySplit="2" topLeftCell="A3" activePane="bottomLeft" state="frozen"/>
      <selection pane="bottomLeft" activeCell="C3" sqref="C3:C13"/>
    </customSheetView>
    <customSheetView guid="{32A281B9-28FB-4D0E-8C01-BFBADAC8C3C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8"/>
    </customSheetView>
    <customSheetView guid="{77799D3C-38E2-410A-80FA-AECD8E6AB89B}"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9"/>
    </customSheetView>
    <customSheetView guid="{13EBDE9D-EC74-4522-9EED-363E735B4A7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0"/>
    </customSheetView>
  </customSheetViews>
  <mergeCells count="5">
    <mergeCell ref="A3:A13"/>
    <mergeCell ref="M3:M13"/>
    <mergeCell ref="D3:D13"/>
    <mergeCell ref="C3:C13"/>
    <mergeCell ref="B3:B13"/>
  </mergeCells>
  <pageMargins left="0.7" right="0.7" top="0.75" bottom="0.75" header="0.3" footer="0.3"/>
  <pageSetup paperSize="9" scale="23"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Финансови бюджетни </vt:lpstr>
      <vt:lpstr>Финансов план на ПТП</vt:lpstr>
      <vt:lpstr>ОПНО_визия евро</vt:lpstr>
      <vt:lpstr>ПОКАЗАТЕЛИ ПТП </vt:lpstr>
      <vt:lpstr>Подробно разпределение </vt:lpstr>
      <vt:lpstr>Хоризонтално обучение </vt:lpstr>
      <vt:lpstr>работен</vt:lpstr>
      <vt:lpstr>П3_Наука_Инфраструктура</vt:lpstr>
      <vt:lpstr>П3_Наука Изследвания</vt:lpstr>
      <vt:lpstr>П3_Наука_Хоризонт</vt:lpstr>
      <vt:lpstr>'Финансов план на ПТП'!_ftnref1</vt:lpstr>
      <vt:lpstr>'ОПНО_визия евро'!Print_Area</vt:lpstr>
      <vt:lpstr>'П3_Наука Изследвания'!Print_Area</vt:lpstr>
      <vt:lpstr>П3_Наука_Инфраструктура!Print_Area</vt:lpstr>
      <vt:lpstr>П3_Наука_Хоризонт!Print_Area</vt:lpstr>
      <vt:lpstr>'ПОКАЗАТЕЛИ ПТП '!Print_Area</vt:lpstr>
      <vt:lpstr>'Финансов план на ПТП'!Print_Area</vt:lpstr>
      <vt:lpstr>'Финансови бюджетни '!Print_Area</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Popov</dc:creator>
  <cp:lastModifiedBy>Даниела Николова</cp:lastModifiedBy>
  <cp:lastPrinted>2021-05-25T07:22:03Z</cp:lastPrinted>
  <dcterms:created xsi:type="dcterms:W3CDTF">2019-11-22T10:11:00Z</dcterms:created>
  <dcterms:modified xsi:type="dcterms:W3CDTF">2021-06-10T13:38:32Z</dcterms:modified>
</cp:coreProperties>
</file>