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govrn.bg\root\OPDU\Отдел 1 ПД\ПТП 2021-2027\6. Draft 2.2\ЗА ИЗПРАЩАНЕ. 2.2\"/>
    </mc:Choice>
  </mc:AlternateContent>
  <bookViews>
    <workbookView xWindow="0" yWindow="0" windowWidth="23040" windowHeight="9195" tabRatio="782" activeTab="3"/>
  </bookViews>
  <sheets>
    <sheet name="Финансови бюджетни " sheetId="1" r:id="rId1"/>
    <sheet name="Финансов план на ПТП" sheetId="2" r:id="rId2"/>
    <sheet name="ОПНО_визия евро" sheetId="3" state="hidden" r:id="rId3"/>
    <sheet name="ПОКАЗАТЕЛИ ПТП " sheetId="4" r:id="rId4"/>
    <sheet name="Подробно разпределение " sheetId="5" r:id="rId5"/>
    <sheet name="работен" sheetId="6" state="hidden" r:id="rId6"/>
    <sheet name="П3_Наука_Инфраструктура" sheetId="7" state="hidden" r:id="rId7"/>
    <sheet name="П3_Наука Изследвания" sheetId="8" state="hidden" r:id="rId8"/>
    <sheet name="П3_Наука_Хоризонт" sheetId="9" state="hidden" r:id="rId9"/>
  </sheets>
  <definedNames>
    <definedName name="_xlnm._FilterDatabase" localSheetId="3" hidden="1">'ПОКАЗАТЕЛИ ПТП '!$A$1:$M$64</definedName>
    <definedName name="_ftn1" localSheetId="3">'ПОКАЗАТЕЛИ ПТП '!#REF!</definedName>
    <definedName name="_ftnref1" localSheetId="1">'Финансов план на ПТП'!$A$24</definedName>
    <definedName name="_xlnm.Print_Area" localSheetId="2">'ОПНО_визия евро'!$A$1:$O$30</definedName>
    <definedName name="_xlnm.Print_Area" localSheetId="7">'П3_Наука Изследвания'!$A$1:$M$14</definedName>
    <definedName name="_xlnm.Print_Area" localSheetId="6">П3_Наука_Инфраструктура!$A$1:$L$16</definedName>
    <definedName name="_xlnm.Print_Area" localSheetId="8">П3_Наука_Хоризонт!$A$1:$M$18</definedName>
    <definedName name="_xlnm.Print_Area" localSheetId="3">'ПОКАЗАТЕЛИ ПТП '!$A$1:$F$62</definedName>
    <definedName name="_xlnm.Print_Area" localSheetId="1">'Финансов план на ПТП'!$A$2:$M$18</definedName>
    <definedName name="_xlnm.Print_Area" localSheetId="0">'Финансови бюджетни '!$A$4:$L$16</definedName>
    <definedName name="result.jsf?x_2_805" localSheetId="5">работен!#REF!</definedName>
    <definedName name="Z_008ABF53_164D_4C5B_BA98_868C9AB74E7A_.wvu.FilterData" localSheetId="3" hidden="1">'ПОКАЗАТЕЛИ ПТП '!$A$1:$M$62</definedName>
    <definedName name="Z_042EB648_82BC_4224_BE18_E23E37019127_.wvu.FilterData" localSheetId="3" hidden="1">'ПОКАЗАТЕЛИ ПТП '!$A$1:$M$62</definedName>
    <definedName name="Z_0B483FC7_B634_4102_9054_FF702DF2D16D_.wvu.FilterData" localSheetId="3" hidden="1">'ПОКАЗАТЕЛИ ПТП '!$A$1:$M$62</definedName>
    <definedName name="Z_0C97AF8D_7C80_4D3A_884E_0BB39D941EA8_.wvu.FilterData" localSheetId="3" hidden="1">'ПОКАЗАТЕЛИ ПТП '!$A$1:$M$62</definedName>
    <definedName name="Z_0CC29DAA_CB45_4ECC_AEC6_24DC9DBF66F4_.wvu.FilterData" localSheetId="3" hidden="1">'ПОКАЗАТЕЛИ ПТП '!$A$1:$M$62</definedName>
    <definedName name="Z_0D9D0AF2_9ABA_40E6_B191_B3B1008D0E0A_.wvu.FilterData" localSheetId="3" hidden="1">'ПОКАЗАТЕЛИ ПТП '!$A$1:$M$62</definedName>
    <definedName name="Z_0F284C65_6180_4150_9970_738EE7A62FB9_.wvu.FilterData" localSheetId="3" hidden="1">'ПОКАЗАТЕЛИ ПТП '!$A$1:$F$62</definedName>
    <definedName name="Z_12034DF3_5272_494A_9232_51EF03EB9FD6_.wvu.FilterData" localSheetId="3" hidden="1">'ПОКАЗАТЕЛИ ПТП '!$A$1:$M$62</definedName>
    <definedName name="Z_13EBDE9D_EC74_4522_9EED_363E735B4A78_.wvu.Cols" localSheetId="8" hidden="1">П3_Наука_Хоризонт!$N:$O</definedName>
    <definedName name="Z_13EBDE9D_EC74_4522_9EED_363E735B4A78_.wvu.FilterData" localSheetId="3" hidden="1">'ПОКАЗАТЕЛИ ПТП '!$A$1:$M$64</definedName>
    <definedName name="Z_13EBDE9D_EC74_4522_9EED_363E735B4A78_.wvu.PrintArea" localSheetId="2" hidden="1">'ОПНО_визия евро'!$A$1:$O$30</definedName>
    <definedName name="Z_13EBDE9D_EC74_4522_9EED_363E735B4A78_.wvu.PrintArea" localSheetId="7" hidden="1">'П3_Наука Изследвания'!$A$1:$M$14</definedName>
    <definedName name="Z_13EBDE9D_EC74_4522_9EED_363E735B4A78_.wvu.PrintArea" localSheetId="6" hidden="1">П3_Наука_Инфраструктура!$A$1:$L$16</definedName>
    <definedName name="Z_13EBDE9D_EC74_4522_9EED_363E735B4A78_.wvu.PrintArea" localSheetId="8" hidden="1">П3_Наука_Хоризонт!$A$1:$M$18</definedName>
    <definedName name="Z_13EBDE9D_EC74_4522_9EED_363E735B4A78_.wvu.PrintArea" localSheetId="3" hidden="1">'ПОКАЗАТЕЛИ ПТП '!$A$1:$F$62</definedName>
    <definedName name="Z_13EBDE9D_EC74_4522_9EED_363E735B4A78_.wvu.PrintArea" localSheetId="1" hidden="1">'Финансов план на ПТП'!$A$2:$M$18</definedName>
    <definedName name="Z_13EBDE9D_EC74_4522_9EED_363E735B4A78_.wvu.PrintArea" localSheetId="0" hidden="1">'Финансови бюджетни '!$A$4:$L$16</definedName>
    <definedName name="Z_145F2F6D_8F9C_4454_A0C6_DC4412ADDAB8_.wvu.FilterData" localSheetId="3" hidden="1">'ПОКАЗАТЕЛИ ПТП '!$A$1:$M$62</definedName>
    <definedName name="Z_15037349_416B_47B2_A085_519110C7C71D_.wvu.FilterData" localSheetId="3" hidden="1">'ПОКАЗАТЕЛИ ПТП '!$A$1:$M$62</definedName>
    <definedName name="Z_15A0B67B_444A_4BE4_B884_AC45439F2049_.wvu.FilterData" localSheetId="3" hidden="1">'ПОКАЗАТЕЛИ ПТП '!$A$1:$M$62</definedName>
    <definedName name="Z_185D5A4C_202F_4232_A5A2_CC2DAAA668F2_.wvu.FilterData" localSheetId="3" hidden="1">'ПОКАЗАТЕЛИ ПТП '!$A$1:$M$62</definedName>
    <definedName name="Z_1BD32DC5_9A08_4A56_B88A_ADFACE5C3CDF_.wvu.FilterData" localSheetId="3" hidden="1">'ПОКАЗАТЕЛИ ПТП '!$A$1:$M$62</definedName>
    <definedName name="Z_21066EB9_DD75_47B4_8A3E_94154F74F4CD_.wvu.FilterData" localSheetId="3" hidden="1">'ПОКАЗАТЕЛИ ПТП '!$A$1:$M$62</definedName>
    <definedName name="Z_259EE139_4126_4E29_9864_DD4E8352A150_.wvu.FilterData" localSheetId="3" hidden="1">'ПОКАЗАТЕЛИ ПТП '!$A$1:$M$62</definedName>
    <definedName name="Z_261BF8DF_488A_4B87_9FD5_F26014C63E8B_.wvu.FilterData" localSheetId="3" hidden="1">'ПОКАЗАТЕЛИ ПТП '!$A$1:$M$62</definedName>
    <definedName name="Z_2A6315F5_C9A2_43A7_B337_00FD30A3EB26_.wvu.Cols" localSheetId="8" hidden="1">П3_Наука_Хоризонт!$N:$O</definedName>
    <definedName name="Z_2A6315F5_C9A2_43A7_B337_00FD30A3EB26_.wvu.FilterData" localSheetId="3" hidden="1">'ПОКАЗАТЕЛИ ПТП '!$A$1:$F$62</definedName>
    <definedName name="Z_2A6315F5_C9A2_43A7_B337_00FD30A3EB26_.wvu.PrintArea" localSheetId="2" hidden="1">'ОПНО_визия евро'!$A$1:$O$30</definedName>
    <definedName name="Z_2A6315F5_C9A2_43A7_B337_00FD30A3EB26_.wvu.PrintArea" localSheetId="7" hidden="1">'П3_Наука Изследвания'!$A$1:$M$14</definedName>
    <definedName name="Z_2A6315F5_C9A2_43A7_B337_00FD30A3EB26_.wvu.PrintArea" localSheetId="6" hidden="1">П3_Наука_Инфраструктура!$A$1:$L$16</definedName>
    <definedName name="Z_2A6315F5_C9A2_43A7_B337_00FD30A3EB26_.wvu.PrintArea" localSheetId="8" hidden="1">П3_Наука_Хоризонт!$A$1:$M$18</definedName>
    <definedName name="Z_2A6315F5_C9A2_43A7_B337_00FD30A3EB26_.wvu.PrintArea" localSheetId="3" hidden="1">'ПОКАЗАТЕЛИ ПТП '!$A$1:$F$62</definedName>
    <definedName name="Z_2A6315F5_C9A2_43A7_B337_00FD30A3EB26_.wvu.PrintArea" localSheetId="1" hidden="1">'Финансов план на ПТП'!$A$2:$M$18</definedName>
    <definedName name="Z_2A6315F5_C9A2_43A7_B337_00FD30A3EB26_.wvu.PrintArea" localSheetId="0" hidden="1">'Финансови бюджетни '!$A$4:$L$16</definedName>
    <definedName name="Z_2D89472C_6FA3_4F06_B286_03FBC9227214_.wvu.FilterData" localSheetId="3" hidden="1">'ПОКАЗАТЕЛИ ПТП '!$A$1:$M$62</definedName>
    <definedName name="Z_2E4D13C6_37F9_4995_96E1_27C1A960A6D4_.wvu.FilterData" localSheetId="3" hidden="1">'ПОКАЗАТЕЛИ ПТП '!$A$1:$M$62</definedName>
    <definedName name="Z_2FDFD1F9_CAA9_4788_BC6B_22023547642F_.wvu.FilterData" localSheetId="3" hidden="1">'ПОКАЗАТЕЛИ ПТП '!$A$1:$M$62</definedName>
    <definedName name="Z_32A281B9_28FB_4D0E_8C01_BFBADAC8C3C9_.wvu.Cols" localSheetId="8" hidden="1">П3_Наука_Хоризонт!$N:$O</definedName>
    <definedName name="Z_32A281B9_28FB_4D0E_8C01_BFBADAC8C3C9_.wvu.FilterData" localSheetId="3" hidden="1">'ПОКАЗАТЕЛИ ПТП '!$A$1:$M$64</definedName>
    <definedName name="Z_32A281B9_28FB_4D0E_8C01_BFBADAC8C3C9_.wvu.PrintArea" localSheetId="2" hidden="1">'ОПНО_визия евро'!$A$1:$O$30</definedName>
    <definedName name="Z_32A281B9_28FB_4D0E_8C01_BFBADAC8C3C9_.wvu.PrintArea" localSheetId="7" hidden="1">'П3_Наука Изследвания'!$A$1:$M$14</definedName>
    <definedName name="Z_32A281B9_28FB_4D0E_8C01_BFBADAC8C3C9_.wvu.PrintArea" localSheetId="6" hidden="1">П3_Наука_Инфраструктура!$A$1:$L$16</definedName>
    <definedName name="Z_32A281B9_28FB_4D0E_8C01_BFBADAC8C3C9_.wvu.PrintArea" localSheetId="8" hidden="1">П3_Наука_Хоризонт!$A$1:$M$18</definedName>
    <definedName name="Z_32A281B9_28FB_4D0E_8C01_BFBADAC8C3C9_.wvu.PrintArea" localSheetId="3" hidden="1">'ПОКАЗАТЕЛИ ПТП '!$A$1:$F$62</definedName>
    <definedName name="Z_32A281B9_28FB_4D0E_8C01_BFBADAC8C3C9_.wvu.PrintArea" localSheetId="1" hidden="1">'Финансов план на ПТП'!$A$2:$M$18</definedName>
    <definedName name="Z_32A281B9_28FB_4D0E_8C01_BFBADAC8C3C9_.wvu.PrintArea" localSheetId="0" hidden="1">'Финансови бюджетни '!$A$4:$L$16</definedName>
    <definedName name="Z_33934842_EF95_4E88_877F_758AD2A4D4D0_.wvu.FilterData" localSheetId="3" hidden="1">'ПОКАЗАТЕЛИ ПТП '!$A$1:$M$62</definedName>
    <definedName name="Z_3542DC62_8B17_4771_8CD4_EC4D5976F83F_.wvu.FilterData" localSheetId="3" hidden="1">'ПОКАЗАТЕЛИ ПТП '!$A$1:$M$62</definedName>
    <definedName name="Z_35D4AF83_4544_40E7_9B86_06957E47EADA_.wvu.FilterData" localSheetId="3" hidden="1">'ПОКАЗАТЕЛИ ПТП '!$A$1:$M$64</definedName>
    <definedName name="Z_38511207_ABF2_41F4_A20A_B7A537CE4931_.wvu.FilterData" localSheetId="3" hidden="1">'ПОКАЗАТЕЛИ ПТП '!$A$1:$M$62</definedName>
    <definedName name="Z_3A6DB9D9_5330_452D_8F5E_7E32B3EA3555_.wvu.FilterData" localSheetId="3" hidden="1">'ПОКАЗАТЕЛИ ПТП '!$A$1:$M$62</definedName>
    <definedName name="Z_44C2A125_6E47_4224_AD84_727CF0E61F69_.wvu.FilterData" localSheetId="3" hidden="1">'ПОКАЗАТЕЛИ ПТП '!$A$1:$M$62</definedName>
    <definedName name="Z_44ED0E52_D049_4834_BFF1_52C0F93E789F_.wvu.FilterData" localSheetId="3" hidden="1">'ПОКАЗАТЕЛИ ПТП '!$A$1:$M$62</definedName>
    <definedName name="Z_450731DB_4BF9_4C9E_BDB4_C26D40562C68_.wvu.FilterData" localSheetId="3" hidden="1">'ПОКАЗАТЕЛИ ПТП '!$A$1:$M$62</definedName>
    <definedName name="Z_46A1F39A_22E7_4B48_903F_3893C818F1C6_.wvu.FilterData" localSheetId="3" hidden="1">'ПОКАЗАТЕЛИ ПТП '!$A$1:$M$62</definedName>
    <definedName name="Z_478865FB_599C_4C08_B032_427D6B351E57_.wvu.FilterData" localSheetId="3" hidden="1">'ПОКАЗАТЕЛИ ПТП '!$A$1:$F$62</definedName>
    <definedName name="Z_4B76E996_E18A_4D36_9A80_B1281B72C0DD_.wvu.FilterData" localSheetId="3" hidden="1">'ПОКАЗАТЕЛИ ПТП '!$A$1:$M$64</definedName>
    <definedName name="Z_4BB0384E_0437_4789_8DE5_FCBF7515AB0F_.wvu.FilterData" localSheetId="3" hidden="1">'ПОКАЗАТЕЛИ ПТП '!$A$1:$M$62</definedName>
    <definedName name="Z_4C25F96D_2B28_4301_92A1_E2682EC0223B_.wvu.FilterData" localSheetId="3" hidden="1">'ПОКАЗАТЕЛИ ПТП '!$A$1:$F$62</definedName>
    <definedName name="Z_4E01AB9E_03A5_44D2_9D9C_890FF04B5AD8_.wvu.FilterData" localSheetId="3" hidden="1">'ПОКАЗАТЕЛИ ПТП '!$A$1:$M$62</definedName>
    <definedName name="Z_508EDACC_2A92_47E6_91D4_24FD126F7EE3_.wvu.FilterData" localSheetId="3" hidden="1">'ПОКАЗАТЕЛИ ПТП '!$A$1:$M$62</definedName>
    <definedName name="Z_539634CF_44A3_4428_8D5D_280293A38ACF_.wvu.FilterData" localSheetId="3" hidden="1">'ПОКАЗАТЕЛИ ПТП '!$A$1:$M$62</definedName>
    <definedName name="Z_53A95ABA_92F3_4325_87CC_0C68A48FAF1F_.wvu.FilterData" localSheetId="3" hidden="1">'ПОКАЗАТЕЛИ ПТП '!$A$1:$M$62</definedName>
    <definedName name="Z_56BC42A3_D967_4F27_BD5A_CB0B8CB7F657_.wvu.Cols" localSheetId="8" hidden="1">П3_Наука_Хоризонт!$N:$O</definedName>
    <definedName name="Z_56BC42A3_D967_4F27_BD5A_CB0B8CB7F657_.wvu.FilterData" localSheetId="3" hidden="1">'ПОКАЗАТЕЛИ ПТП '!$A$1:$M$62</definedName>
    <definedName name="Z_56BC42A3_D967_4F27_BD5A_CB0B8CB7F657_.wvu.PrintArea" localSheetId="2" hidden="1">'ОПНО_визия евро'!$A$1:$O$30</definedName>
    <definedName name="Z_56BC42A3_D967_4F27_BD5A_CB0B8CB7F657_.wvu.PrintArea" localSheetId="7" hidden="1">'П3_Наука Изследвания'!$A$1:$M$14</definedName>
    <definedName name="Z_56BC42A3_D967_4F27_BD5A_CB0B8CB7F657_.wvu.PrintArea" localSheetId="6" hidden="1">П3_Наука_Инфраструктура!$A$1:$L$16</definedName>
    <definedName name="Z_56BC42A3_D967_4F27_BD5A_CB0B8CB7F657_.wvu.PrintArea" localSheetId="8" hidden="1">П3_Наука_Хоризонт!$A$1:$M$18</definedName>
    <definedName name="Z_56BC42A3_D967_4F27_BD5A_CB0B8CB7F657_.wvu.PrintArea" localSheetId="3" hidden="1">'ПОКАЗАТЕЛИ ПТП '!$A$1:$F$62</definedName>
    <definedName name="Z_56BC42A3_D967_4F27_BD5A_CB0B8CB7F657_.wvu.PrintArea" localSheetId="1" hidden="1">'Финансов план на ПТП'!$A$2:$M$18</definedName>
    <definedName name="Z_56BC42A3_D967_4F27_BD5A_CB0B8CB7F657_.wvu.PrintArea" localSheetId="0" hidden="1">'Финансови бюджетни '!$A$4:$L$16</definedName>
    <definedName name="Z_594063B7_0116_4985_9B71_4712FA8932F2_.wvu.FilterData" localSheetId="3" hidden="1">'ПОКАЗАТЕЛИ ПТП '!$A$1:$M$62</definedName>
    <definedName name="Z_59556E99_6985_48CB_9B1C_3F9D4BC561CE_.wvu.FilterData" localSheetId="3" hidden="1">'ПОКАЗАТЕЛИ ПТП '!$A$1:$F$62</definedName>
    <definedName name="Z_59C92782_F552_4F83_88F2_58AD0899CA3F_.wvu.FilterData" localSheetId="3" hidden="1">'ПОКАЗАТЕЛИ ПТП '!$A$1:$F$62</definedName>
    <definedName name="Z_5F3C4B6F_44D6_43BD_BE64_BC56B66D339E_.wvu.FilterData" localSheetId="3" hidden="1">'ПОКАЗАТЕЛИ ПТП '!$A$1:$M$62</definedName>
    <definedName name="Z_60392FDC_0979_4005_8F6B_4B6A89DCED03_.wvu.FilterData" localSheetId="3" hidden="1">'ПОКАЗАТЕЛИ ПТП '!$A$1:$M$62</definedName>
    <definedName name="Z_60786D3F_F644_47DC_B85B_1DC39C92BC6A_.wvu.FilterData" localSheetId="3" hidden="1">'ПОКАЗАТЕЛИ ПТП '!$A$1:$M$62</definedName>
    <definedName name="Z_60ABE2B3_B68E_4D05_9061_183F6B2424F3_.wvu.FilterData" localSheetId="3" hidden="1">'ПОКАЗАТЕЛИ ПТП '!$A$1:$M$62</definedName>
    <definedName name="Z_616E1976_58DE_4466_8922_C10B7D674852_.wvu.FilterData" localSheetId="3" hidden="1">'ПОКАЗАТЕЛИ ПТП '!$A$1:$M$62</definedName>
    <definedName name="Z_688CB038_F282_4990_A834_4AD321619C8C_.wvu.FilterData" localSheetId="3" hidden="1">'ПОКАЗАТЕЛИ ПТП '!$A$1:$M$62</definedName>
    <definedName name="Z_6DE7F3B1_A2A5_4DF3_AB28_CEC05645DF79_.wvu.FilterData" localSheetId="3" hidden="1">'ПОКАЗАТЕЛИ ПТП '!$A$1:$M$62</definedName>
    <definedName name="Z_706ED943_D14E_4B19_B1BF_18F11D303E32_.wvu.FilterData" localSheetId="3" hidden="1">'ПОКАЗАТЕЛИ ПТП '!$A$1:$M$62</definedName>
    <definedName name="Z_77799D3C_38E2_410A_80FA_AECD8E6AB89B_.wvu.Cols" localSheetId="8" hidden="1">П3_Наука_Хоризонт!$N:$O</definedName>
    <definedName name="Z_77799D3C_38E2_410A_80FA_AECD8E6AB89B_.wvu.FilterData" localSheetId="3" hidden="1">'ПОКАЗАТЕЛИ ПТП '!$A$1:$M$64</definedName>
    <definedName name="Z_77799D3C_38E2_410A_80FA_AECD8E6AB89B_.wvu.PrintArea" localSheetId="2" hidden="1">'ОПНО_визия евро'!$A$1:$O$30</definedName>
    <definedName name="Z_77799D3C_38E2_410A_80FA_AECD8E6AB89B_.wvu.PrintArea" localSheetId="7" hidden="1">'П3_Наука Изследвания'!$A$1:$M$14</definedName>
    <definedName name="Z_77799D3C_38E2_410A_80FA_AECD8E6AB89B_.wvu.PrintArea" localSheetId="6" hidden="1">П3_Наука_Инфраструктура!$A$1:$L$16</definedName>
    <definedName name="Z_77799D3C_38E2_410A_80FA_AECD8E6AB89B_.wvu.PrintArea" localSheetId="8" hidden="1">П3_Наука_Хоризонт!$A$1:$M$18</definedName>
    <definedName name="Z_77799D3C_38E2_410A_80FA_AECD8E6AB89B_.wvu.PrintArea" localSheetId="3" hidden="1">'ПОКАЗАТЕЛИ ПТП '!$A$1:$F$62</definedName>
    <definedName name="Z_77799D3C_38E2_410A_80FA_AECD8E6AB89B_.wvu.PrintArea" localSheetId="1" hidden="1">'Финансов план на ПТП'!$A$2:$M$18</definedName>
    <definedName name="Z_77799D3C_38E2_410A_80FA_AECD8E6AB89B_.wvu.PrintArea" localSheetId="0" hidden="1">'Финансови бюджетни '!$A$4:$L$16</definedName>
    <definedName name="Z_789DF1D1_5B2F_4DBB_A27D_7F65A344A4B0_.wvu.FilterData" localSheetId="3" hidden="1">'ПОКАЗАТЕЛИ ПТП '!$A$1:$M$62</definedName>
    <definedName name="Z_78C4BE07_3D6D_48FF_829A_93E03342FDC1_.wvu.FilterData" localSheetId="3" hidden="1">'ПОКАЗАТЕЛИ ПТП '!$A$1:$M$62</definedName>
    <definedName name="Z_7AFACEE3_4130_438F_9B62_F00738166982_.wvu.FilterData" localSheetId="3" hidden="1">'ПОКАЗАТЕЛИ ПТП '!$A$1:$M$62</definedName>
    <definedName name="Z_7BC33F16_0A52_48FA_9587_E7C66DF4A2C2_.wvu.FilterData" localSheetId="3" hidden="1">'ПОКАЗАТЕЛИ ПТП '!$A$1:$M$62</definedName>
    <definedName name="Z_7C398563_66C1_4EF6_BC12_42FA6233B0B8_.wvu.FilterData" localSheetId="3" hidden="1">'ПОКАЗАТЕЛИ ПТП '!$A$1:$M$62</definedName>
    <definedName name="Z_7E4C5ABB_6A83_448F_97BF_009D8C7CCFE4_.wvu.FilterData" localSheetId="3" hidden="1">'ПОКАЗАТЕЛИ ПТП '!$A$1:$M$62</definedName>
    <definedName name="Z_7F2EA1C4_55AA_4612_84FA_501681582C12_.wvu.FilterData" localSheetId="3" hidden="1">'ПОКАЗАТЕЛИ ПТП '!$A$1:$M$62</definedName>
    <definedName name="Z_84A71B46_60CD_407A_89F3_857B06992E7A_.wvu.FilterData" localSheetId="3" hidden="1">'ПОКАЗАТЕЛИ ПТП '!$A$1:$M$62</definedName>
    <definedName name="Z_865CDE92_7D88_495D_90A0_9A0951E8EE5B_.wvu.FilterData" localSheetId="3" hidden="1">'ПОКАЗАТЕЛИ ПТП '!$A$1:$M$62</definedName>
    <definedName name="Z_872D2DA5_7BEF_480F_BD4A_211DAFB5A8E3_.wvu.FilterData" localSheetId="3" hidden="1">'ПОКАЗАТЕЛИ ПТП '!$A$1:$M$62</definedName>
    <definedName name="Z_878BA027_57A8_44BE_B4C6_7E97B44F94A2_.wvu.FilterData" localSheetId="3" hidden="1">'ПОКАЗАТЕЛИ ПТП '!$A$1:$M$62</definedName>
    <definedName name="Z_88974E4A_2D2B_42DC_8EA2_54A59A77B0D5_.wvu.FilterData" localSheetId="3" hidden="1">'ПОКАЗАТЕЛИ ПТП '!$A$1:$M$62</definedName>
    <definedName name="Z_8AB8B59D_AA09_4081_BE27_99D08A07BA31_.wvu.FilterData" localSheetId="3" hidden="1">'ПОКАЗАТЕЛИ ПТП '!$A$1:$M$62</definedName>
    <definedName name="Z_8B6D65BC_AB77_4F9F_BB5E_C848F5C1D363_.wvu.FilterData" localSheetId="3" hidden="1">'ПОКАЗАТЕЛИ ПТП '!$A$1:$M$62</definedName>
    <definedName name="Z_8F340EDE_FB25_4830_AA64_0CB34D06C1E0_.wvu.FilterData" localSheetId="3" hidden="1">'ПОКАЗАТЕЛИ ПТП '!$A$1:$M$62</definedName>
    <definedName name="Z_9180A044_BC68_4F4E_8E32_4F4879630C5D_.wvu.FilterData" localSheetId="3" hidden="1">'ПОКАЗАТЕЛИ ПТП '!$A$1:$M$62</definedName>
    <definedName name="Z_91AF3DAF_3A21_4047_95E4_323BC50341B9_.wvu.FilterData" localSheetId="3" hidden="1">'ПОКАЗАТЕЛИ ПТП '!$A$1:$M$62</definedName>
    <definedName name="Z_967C2AF1_5EDF_4EFB_9B6E_F068F0A377ED_.wvu.FilterData" localSheetId="3" hidden="1">'ПОКАЗАТЕЛИ ПТП '!$A$1:$M$62</definedName>
    <definedName name="Z_97473967_553B_4F9C_B199_B080F6D50764_.wvu.FilterData" localSheetId="3" hidden="1">'ПОКАЗАТЕЛИ ПТП '!$A$2:$F$51</definedName>
    <definedName name="Z_98583CFF_58DC_4FB4_88DF_28748AEF91F6_.wvu.FilterData" localSheetId="3" hidden="1">'ПОКАЗАТЕЛИ ПТП '!$A$1:$M$62</definedName>
    <definedName name="Z_98FCE1DD_8BAE_472D_9734_AEB84FC63C88_.wvu.FilterData" localSheetId="3" hidden="1">'ПОКАЗАТЕЛИ ПТП '!$A$1:$M$62</definedName>
    <definedName name="Z_9CB77FEE_E4A3_4A18_85E7_45FCDC188FE9_.wvu.FilterData" localSheetId="3" hidden="1">'ПОКАЗАТЕЛИ ПТП '!$A$1:$M$62</definedName>
    <definedName name="Z_9CD5F6CE_0E1C_42DA_A598_93523B740CBC_.wvu.Cols" localSheetId="8" hidden="1">П3_Наука_Хоризонт!$N:$O</definedName>
    <definedName name="Z_9CD5F6CE_0E1C_42DA_A598_93523B740CBC_.wvu.FilterData" localSheetId="3" hidden="1">'ПОКАЗАТЕЛИ ПТП '!$A$2:$F$51</definedName>
    <definedName name="Z_9CD5F6CE_0E1C_42DA_A598_93523B740CBC_.wvu.PrintArea" localSheetId="2" hidden="1">'ОПНО_визия евро'!$A$1:$O$30</definedName>
    <definedName name="Z_9CD5F6CE_0E1C_42DA_A598_93523B740CBC_.wvu.PrintArea" localSheetId="7" hidden="1">'П3_Наука Изследвания'!$A$1:$M$14</definedName>
    <definedName name="Z_9CD5F6CE_0E1C_42DA_A598_93523B740CBC_.wvu.PrintArea" localSheetId="6" hidden="1">П3_Наука_Инфраструктура!$A$1:$L$16</definedName>
    <definedName name="Z_9CD5F6CE_0E1C_42DA_A598_93523B740CBC_.wvu.PrintArea" localSheetId="8" hidden="1">П3_Наука_Хоризонт!$A$1:$M$18</definedName>
    <definedName name="Z_9CD5F6CE_0E1C_42DA_A598_93523B740CBC_.wvu.PrintArea" localSheetId="1" hidden="1">'Финансов план на ПТП'!$A$2:$M$18</definedName>
    <definedName name="Z_9CD5F6CE_0E1C_42DA_A598_93523B740CBC_.wvu.PrintArea" localSheetId="0" hidden="1">'Финансови бюджетни '!$A$4:$L$16</definedName>
    <definedName name="Z_9CF8157C_F9C6_42F2_BC91_4E0E92F3E150_.wvu.FilterData" localSheetId="3" hidden="1">'ПОКАЗАТЕЛИ ПТП '!$A$1:$M$62</definedName>
    <definedName name="Z_A44EDE4C_7411_45F3_9DDB_5D396C6F8E30_.wvu.FilterData" localSheetId="3" hidden="1">'ПОКАЗАТЕЛИ ПТП '!$A$1:$M$62</definedName>
    <definedName name="Z_A47A44D7_E2B5_46C7_A48C_49088F2604E0_.wvu.FilterData" localSheetId="3" hidden="1">'ПОКАЗАТЕЛИ ПТП '!$A$1:$M$62</definedName>
    <definedName name="Z_A5E45A22_7E45_4C8C_90B4_681EA05978BA_.wvu.FilterData" localSheetId="3" hidden="1">'ПОКАЗАТЕЛИ ПТП '!$A$1:$M$62</definedName>
    <definedName name="Z_A92C6647_AB29_4B6A_AC26_5A7AE5C58888_.wvu.FilterData" localSheetId="3" hidden="1">'ПОКАЗАТЕЛИ ПТП '!$A$1:$M$62</definedName>
    <definedName name="Z_A9E76DC5_461B_4C57_B245_F038800639FE_.wvu.FilterData" localSheetId="3" hidden="1">'ПОКАЗАТЕЛИ ПТП '!$A$1:$M$62</definedName>
    <definedName name="Z_AB278974_DE54_492A_9691_AEB99B62A374_.wvu.FilterData" localSheetId="3" hidden="1">'ПОКАЗАТЕЛИ ПТП '!$A$1:$M$62</definedName>
    <definedName name="Z_ACEB7F85_A977_4456_AFE3_A35E17DA1D56_.wvu.FilterData" localSheetId="3" hidden="1">'ПОКАЗАТЕЛИ ПТП '!$A$1:$M$62</definedName>
    <definedName name="Z_AD504361_49F3_4986_BDBF_FB73E2299976_.wvu.Cols" localSheetId="8" hidden="1">П3_Наука_Хоризонт!$N:$O</definedName>
    <definedName name="Z_AD504361_49F3_4986_BDBF_FB73E2299976_.wvu.FilterData" localSheetId="3" hidden="1">'ПОКАЗАТЕЛИ ПТП '!$A$1:$M$62</definedName>
    <definedName name="Z_AD504361_49F3_4986_BDBF_FB73E2299976_.wvu.PrintArea" localSheetId="2" hidden="1">'ОПНО_визия евро'!$A$1:$O$30</definedName>
    <definedName name="Z_AD504361_49F3_4986_BDBF_FB73E2299976_.wvu.PrintArea" localSheetId="7" hidden="1">'П3_Наука Изследвания'!$A$1:$M$14</definedName>
    <definedName name="Z_AD504361_49F3_4986_BDBF_FB73E2299976_.wvu.PrintArea" localSheetId="6" hidden="1">П3_Наука_Инфраструктура!$A$1:$L$16</definedName>
    <definedName name="Z_AD504361_49F3_4986_BDBF_FB73E2299976_.wvu.PrintArea" localSheetId="8" hidden="1">П3_Наука_Хоризонт!$A$1:$M$18</definedName>
    <definedName name="Z_AD504361_49F3_4986_BDBF_FB73E2299976_.wvu.PrintArea" localSheetId="3" hidden="1">'ПОКАЗАТЕЛИ ПТП '!$A$1:$F$62</definedName>
    <definedName name="Z_AD504361_49F3_4986_BDBF_FB73E2299976_.wvu.PrintArea" localSheetId="1" hidden="1">'Финансов план на ПТП'!$A$2:$M$18</definedName>
    <definedName name="Z_AD504361_49F3_4986_BDBF_FB73E2299976_.wvu.PrintArea" localSheetId="0" hidden="1">'Финансови бюджетни '!$A$4:$L$16</definedName>
    <definedName name="Z_ADE2AED5_CCF6_4A00_B664_C2C49B9BEF5C_.wvu.FilterData" localSheetId="3" hidden="1">'ПОКАЗАТЕЛИ ПТП '!$A$1:$M$62</definedName>
    <definedName name="Z_AFB558D7_B68D_403E_9CDE_53616F2B37D7_.wvu.FilterData" localSheetId="3" hidden="1">'ПОКАЗАТЕЛИ ПТП '!$A$1:$M$62</definedName>
    <definedName name="Z_B1A1AEA2_F407_4A00_872D_F8AA3FCCAB28_.wvu.FilterData" localSheetId="3" hidden="1">'ПОКАЗАТЕЛИ ПТП '!$A$1:$M$62</definedName>
    <definedName name="Z_B2580134_98E8_447F_87D8_04F8DB5252C2_.wvu.FilterData" localSheetId="3" hidden="1">'ПОКАЗАТЕЛИ ПТП '!$A$2:$F$51</definedName>
    <definedName name="Z_B3762A0B_85CA_444A_8DD2_564EE243944D_.wvu.FilterData" localSheetId="3" hidden="1">'ПОКАЗАТЕЛИ ПТП '!$A$1:$M$62</definedName>
    <definedName name="Z_B426F9F8_EB1A_4D7B_9478_7E22D414CC12_.wvu.Cols" localSheetId="8" hidden="1">П3_Наука_Хоризонт!$N:$O</definedName>
    <definedName name="Z_B426F9F8_EB1A_4D7B_9478_7E22D414CC12_.wvu.FilterData" localSheetId="3" hidden="1">'ПОКАЗАТЕЛИ ПТП '!$A$1:$M$64</definedName>
    <definedName name="Z_B426F9F8_EB1A_4D7B_9478_7E22D414CC12_.wvu.PrintArea" localSheetId="2" hidden="1">'ОПНО_визия евро'!$A$1:$O$30</definedName>
    <definedName name="Z_B426F9F8_EB1A_4D7B_9478_7E22D414CC12_.wvu.PrintArea" localSheetId="7" hidden="1">'П3_Наука Изследвания'!$A$1:$M$14</definedName>
    <definedName name="Z_B426F9F8_EB1A_4D7B_9478_7E22D414CC12_.wvu.PrintArea" localSheetId="6" hidden="1">П3_Наука_Инфраструктура!$A$1:$L$16</definedName>
    <definedName name="Z_B426F9F8_EB1A_4D7B_9478_7E22D414CC12_.wvu.PrintArea" localSheetId="8" hidden="1">П3_Наука_Хоризонт!$A$1:$M$18</definedName>
    <definedName name="Z_B426F9F8_EB1A_4D7B_9478_7E22D414CC12_.wvu.PrintArea" localSheetId="3" hidden="1">'ПОКАЗАТЕЛИ ПТП '!$A$1:$M$62</definedName>
    <definedName name="Z_B426F9F8_EB1A_4D7B_9478_7E22D414CC12_.wvu.PrintArea" localSheetId="1" hidden="1">'Финансов план на ПТП'!$A$2:$M$18</definedName>
    <definedName name="Z_B426F9F8_EB1A_4D7B_9478_7E22D414CC12_.wvu.PrintArea" localSheetId="0" hidden="1">'Финансови бюджетни '!$A$4:$L$16</definedName>
    <definedName name="Z_B4CD06E5_0F7A_4CD2_A1B8_48ECAD5ED7A0_.wvu.FilterData" localSheetId="3" hidden="1">'ПОКАЗАТЕЛИ ПТП '!$A$1:$M$64</definedName>
    <definedName name="Z_B51586A5_537D_4B84_901E_178643F0D236_.wvu.FilterData" localSheetId="3" hidden="1">'ПОКАЗАТЕЛИ ПТП '!$A$1:$M$62</definedName>
    <definedName name="Z_B5DDA91F_EC18_4D67_A347_1883CDE2FFF4_.wvu.FilterData" localSheetId="3" hidden="1">'ПОКАЗАТЕЛИ ПТП '!$A$1:$M$62</definedName>
    <definedName name="Z_BA49FD0F_AB35_48A1_AD22_91FD674A6FB2_.wvu.FilterData" localSheetId="3" hidden="1">'ПОКАЗАТЕЛИ ПТП '!$A$1:$M$62</definedName>
    <definedName name="Z_C045550C_87F3_453F_B207_735FDF4C6AEC_.wvu.FilterData" localSheetId="3" hidden="1">'ПОКАЗАТЕЛИ ПТП '!$A$1:$M$62</definedName>
    <definedName name="Z_C2AD75A7_2631_4E7D_942F_B2AB060AAA09_.wvu.FilterData" localSheetId="3" hidden="1">'ПОКАЗАТЕЛИ ПТП '!$A$1:$M$62</definedName>
    <definedName name="Z_C6B8F34A_F1E4_4D67_A924_DA21D14BBA7E_.wvu.FilterData" localSheetId="3" hidden="1">'ПОКАЗАТЕЛИ ПТП '!$A$1:$M$62</definedName>
    <definedName name="Z_C6DB5879_32A9_403F_864A_4BAA95BB7747_.wvu.FilterData" localSheetId="3" hidden="1">'ПОКАЗАТЕЛИ ПТП '!$A$1:$M$62</definedName>
    <definedName name="Z_C6F190A0_1065_4334_BB3D_A201C52D19BC_.wvu.FilterData" localSheetId="3" hidden="1">'ПОКАЗАТЕЛИ ПТП '!$A$1:$M$62</definedName>
    <definedName name="Z_CD0DA7C6_AE0D_4D8C_8DEC_9E1E1BD6C5A7_.wvu.FilterData" localSheetId="3" hidden="1">'ПОКАЗАТЕЛИ ПТП '!$A$1:$M$62</definedName>
    <definedName name="Z_CDFE6D91_C19B_4A37_8497_E1930B99F06E_.wvu.FilterData" localSheetId="3" hidden="1">'ПОКАЗАТЕЛИ ПТП '!$A$1:$M$62</definedName>
    <definedName name="Z_CE577872_512D_4445_82A3_E45C406A456B_.wvu.FilterData" localSheetId="3" hidden="1">'ПОКАЗАТЕЛИ ПТП '!$A$1:$M$62</definedName>
    <definedName name="Z_D1764B63_B88F_4276_A634_B6297D05F3AB_.wvu.FilterData" localSheetId="3" hidden="1">'ПОКАЗАТЕЛИ ПТП '!$A$1:$M$64</definedName>
    <definedName name="Z_D1BD168D_40B4_46AB_88B7_64C22520CFA0_.wvu.Cols" localSheetId="8" hidden="1">П3_Наука_Хоризонт!$N:$O</definedName>
    <definedName name="Z_D1BD168D_40B4_46AB_88B7_64C22520CFA0_.wvu.FilterData" localSheetId="3" hidden="1">'ПОКАЗАТЕЛИ ПТП '!$A$1:$M$62</definedName>
    <definedName name="Z_D1BD168D_40B4_46AB_88B7_64C22520CFA0_.wvu.PrintArea" localSheetId="2" hidden="1">'ОПНО_визия евро'!$A$1:$O$30</definedName>
    <definedName name="Z_D1BD168D_40B4_46AB_88B7_64C22520CFA0_.wvu.PrintArea" localSheetId="7" hidden="1">'П3_Наука Изследвания'!$A$1:$M$14</definedName>
    <definedName name="Z_D1BD168D_40B4_46AB_88B7_64C22520CFA0_.wvu.PrintArea" localSheetId="6" hidden="1">П3_Наука_Инфраструктура!$A$1:$L$16</definedName>
    <definedName name="Z_D1BD168D_40B4_46AB_88B7_64C22520CFA0_.wvu.PrintArea" localSheetId="8" hidden="1">П3_Наука_Хоризонт!$A$1:$M$18</definedName>
    <definedName name="Z_D1BD168D_40B4_46AB_88B7_64C22520CFA0_.wvu.PrintArea" localSheetId="3" hidden="1">'ПОКАЗАТЕЛИ ПТП '!$A$1:$F$62</definedName>
    <definedName name="Z_D1BD168D_40B4_46AB_88B7_64C22520CFA0_.wvu.PrintArea" localSheetId="1" hidden="1">'Финансов план на ПТП'!$A$2:$M$18</definedName>
    <definedName name="Z_D1BD168D_40B4_46AB_88B7_64C22520CFA0_.wvu.PrintArea" localSheetId="0" hidden="1">'Финансови бюджетни '!$A$4:$L$16</definedName>
    <definedName name="Z_D55A2AC3_0B6C_43D7_B147_934C8D1C734D_.wvu.FilterData" localSheetId="3" hidden="1">'ПОКАЗАТЕЛИ ПТП '!$A$1:$M$62</definedName>
    <definedName name="Z_D9DEA245_E231_4080_A4D0_FA9FB96DEAC7_.wvu.FilterData" localSheetId="3" hidden="1">'ПОКАЗАТЕЛИ ПТП '!$A$1:$M$62</definedName>
    <definedName name="Z_DBD059FC_E21C_4532_B008_88F77AB2724E_.wvu.FilterData" localSheetId="3" hidden="1">'ПОКАЗАТЕЛИ ПТП '!$A$1:$M$62</definedName>
    <definedName name="Z_DCE53AB0_D536_4F68_9C51_8F24A0125ED3_.wvu.FilterData" localSheetId="3" hidden="1">'ПОКАЗАТЕЛИ ПТП '!$A$1:$F$62</definedName>
    <definedName name="Z_DF2C4FDE_E1F5_4237_AAD0_8EC7F5D509D3_.wvu.FilterData" localSheetId="3" hidden="1">'ПОКАЗАТЕЛИ ПТП '!$A$1:$M$62</definedName>
    <definedName name="Z_DFC16DFA_D513_4368_8B92_9E363A26CBAC_.wvu.FilterData" localSheetId="3" hidden="1">'ПОКАЗАТЕЛИ ПТП '!$A$1:$F$62</definedName>
    <definedName name="Z_E07B67F4_8A17_4050_B9B8_81977BCB02E2_.wvu.Cols" localSheetId="8" hidden="1">П3_Наука_Хоризонт!$N:$O</definedName>
    <definedName name="Z_E07B67F4_8A17_4050_B9B8_81977BCB02E2_.wvu.Cols" localSheetId="3" hidden="1">'ПОКАЗАТЕЛИ ПТП '!#REF!</definedName>
    <definedName name="Z_E07B67F4_8A17_4050_B9B8_81977BCB02E2_.wvu.FilterData" localSheetId="3" hidden="1">'ПОКАЗАТЕЛИ ПТП '!$A$2:$F$51</definedName>
    <definedName name="Z_E07B67F4_8A17_4050_B9B8_81977BCB02E2_.wvu.PrintArea" localSheetId="2" hidden="1">'ОПНО_визия евро'!$A$1:$O$30</definedName>
    <definedName name="Z_E07B67F4_8A17_4050_B9B8_81977BCB02E2_.wvu.PrintArea" localSheetId="7" hidden="1">'П3_Наука Изследвания'!$A$1:$M$14</definedName>
    <definedName name="Z_E07B67F4_8A17_4050_B9B8_81977BCB02E2_.wvu.PrintArea" localSheetId="6" hidden="1">П3_Наука_Инфраструктура!$A$1:$L$16</definedName>
    <definedName name="Z_E07B67F4_8A17_4050_B9B8_81977BCB02E2_.wvu.PrintArea" localSheetId="8" hidden="1">П3_Наука_Хоризонт!$A$1:$M$18</definedName>
    <definedName name="Z_E07B67F4_8A17_4050_B9B8_81977BCB02E2_.wvu.PrintArea" localSheetId="3" hidden="1">'ПОКАЗАТЕЛИ ПТП '!$A$1:$F$39</definedName>
    <definedName name="Z_E07B67F4_8A17_4050_B9B8_81977BCB02E2_.wvu.PrintArea" localSheetId="1" hidden="1">'Финансов план на ПТП'!$A$2:$M$18</definedName>
    <definedName name="Z_E07B67F4_8A17_4050_B9B8_81977BCB02E2_.wvu.PrintArea" localSheetId="0" hidden="1">'Финансови бюджетни '!$A$4:$L$16</definedName>
    <definedName name="Z_ECC2290F_3EDB_4B87_95E7_39D418B19680_.wvu.FilterData" localSheetId="3" hidden="1">'ПОКАЗАТЕЛИ ПТП '!$A$1:$M$62</definedName>
    <definedName name="Z_EF25795A_3B6F_4507_92B9_EAF5B0884E9E_.wvu.FilterData" localSheetId="3" hidden="1">'ПОКАЗАТЕЛИ ПТП '!$A$1:$M$62</definedName>
    <definedName name="Z_F055BC8A_093D_41C6_B580_0ABA34413A59_.wvu.FilterData" localSheetId="3" hidden="1">'ПОКАЗАТЕЛИ ПТП '!$A$1:$M$62</definedName>
    <definedName name="Z_F296FD54_9E2C_49C0_807F_4D606DDA42BB_.wvu.FilterData" localSheetId="3" hidden="1">'ПОКАЗАТЕЛИ ПТП '!$A$1:$M$62</definedName>
    <definedName name="Z_F51B41C0_1BD7_44BF_8205_E6650A4106D4_.wvu.FilterData" localSheetId="3" hidden="1">'ПОКАЗАТЕЛИ ПТП '!$A$1:$M$62</definedName>
    <definedName name="Z_F5FEA9DB_91E2_48FB_899C_702683241BF8_.wvu.FilterData" localSheetId="3" hidden="1">'ПОКАЗАТЕЛИ ПТП '!$A$1:$M$62</definedName>
    <definedName name="Z_FBD83DB1_7D23_442D_AAFC_8EB3C39CCE98_.wvu.FilterData" localSheetId="3" hidden="1">'ПОКАЗАТЕЛИ ПТП '!$A$1:$M$62</definedName>
    <definedName name="Z_FE2955C0_88F2_4786_82CB_7C3712BA1FAE_.wvu.FilterData" localSheetId="3" hidden="1">'ПОКАЗАТЕЛИ ПТП '!$A$1:$M$62</definedName>
    <definedName name="Z_FF056BCE_8DD2_46C8_9A5C_CA39174333D6_.wvu.FilterData" localSheetId="3" hidden="1">'ПОКАЗАТЕЛИ ПТП '!$A$1:$M$62</definedName>
  </definedNames>
  <calcPr calcId="162913"/>
  <customWorkbookViews>
    <customWorkbookView name="Атанас Атанасов - Personal View" guid="{B426F9F8-EB1A-4D7B-9478-7E22D414CC12}" mergeInterval="0" personalView="1" maximized="1" xWindow="-8" yWindow="-8" windowWidth="1936" windowHeight="1056" tabRatio="572" activeSheetId="4"/>
    <customWorkbookView name="Мария  Христова - Personal View" guid="{56BC42A3-D967-4F27-BD5A-CB0B8CB7F657}" mergeInterval="0" personalView="1" maximized="1" xWindow="-8" yWindow="-8" windowWidth="1936" windowHeight="1056" tabRatio="782" activeSheetId="4"/>
    <customWorkbookView name="Managing Authority  - Personal View" guid="{D1BD168D-40B4-46AB-88B7-64C22520CFA0}" mergeInterval="0" personalView="1" maximized="1" xWindow="-8" yWindow="-8" windowWidth="1936" windowHeight="1056" tabRatio="782" activeSheetId="2"/>
    <customWorkbookView name="Цветелина Соракова - Personal View" guid="{AD504361-49F3-4986-BDBF-FB73E2299976}" mergeInterval="0" personalView="1" maximized="1" xWindow="-9" yWindow="-9" windowWidth="1938" windowHeight="1048" tabRatio="782" activeSheetId="2"/>
    <customWorkbookView name="Managing Authority - Personal View" guid="{2A6315F5-C9A2-43A7-B337-00FD30A3EB26}" mergeInterval="0" personalView="1" maximized="1" xWindow="-8" yWindow="-8" windowWidth="1936" windowHeight="1056" tabRatio="782" activeSheetId="4"/>
    <customWorkbookView name="Даниела Николов - Personal View" guid="{E07B67F4-8A17-4050-B9B8-81977BCB02E2}" mergeInterval="0" personalView="1" maximized="1" xWindow="-8" yWindow="-8" windowWidth="1936" windowHeight="1056" tabRatio="782" activeSheetId="4"/>
    <customWorkbookView name="Емилия Герджикова - Personal View" guid="{9CD5F6CE-0E1C-42DA-A598-93523B740CBC}" mergeInterval="0" personalView="1" xWindow="35" yWindow="34" windowWidth="1883" windowHeight="1007" tabRatio="782" activeSheetId="4"/>
    <customWorkbookView name="Антон Шопов - Personal View" guid="{72B67681-E295-44ED-80A6-F4B618B242B1}" mergeInterval="0" changesSavedWin="1" personalView="1" includePrintSettings="0" includeHiddenRowCol="0" maximized="1" xWindow="-8" yWindow="-8" windowWidth="1936" windowHeight="1056" tabRatio="782" activeSheetId="4"/>
    <customWorkbookView name="Полина Личева - Personal View" guid="{77799D3C-38E2-410A-80FA-AECD8E6AB89B}" mergeInterval="0" personalView="1" maximized="1" xWindow="-8" yWindow="-8" windowWidth="1936" windowHeight="1056" tabRatio="782" activeSheetId="4"/>
    <customWorkbookView name="Елисавета Марашлиева-Нинова - Personal View" guid="{13EBDE9D-EC74-4522-9EED-363E735B4A78}" mergeInterval="0" personalView="1" maximized="1" xWindow="-8" yWindow="-8" windowWidth="1936" windowHeight="1056" tabRatio="782" activeSheetId="4"/>
    <customWorkbookView name="Даниела Николова - Personal View" guid="{32A281B9-28FB-4D0E-8C01-BFBADAC8C3C9}" mergeInterval="0" personalView="1" maximized="1" xWindow="-8" yWindow="-8" windowWidth="1936" windowHeight="1056" tabRatio="78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7" i="4" l="1"/>
  <c r="I74" i="4"/>
  <c r="I72" i="4"/>
  <c r="I70" i="4"/>
  <c r="I7" i="2" l="1"/>
  <c r="L7" i="2"/>
  <c r="L64" i="4" l="1"/>
  <c r="K64" i="4"/>
  <c r="L79" i="4"/>
  <c r="L80" i="4"/>
  <c r="K80" i="4"/>
  <c r="K79" i="4"/>
  <c r="L70" i="4"/>
  <c r="K70" i="4"/>
  <c r="K77" i="4" l="1"/>
  <c r="K101" i="4" l="1"/>
  <c r="K100" i="4"/>
  <c r="O63" i="4" l="1"/>
  <c r="P63" i="4"/>
  <c r="Q63" i="4"/>
  <c r="R63" i="4"/>
  <c r="S63" i="4"/>
  <c r="T63" i="4"/>
  <c r="N63" i="4"/>
  <c r="L69" i="4" l="1"/>
  <c r="L98" i="4" l="1"/>
  <c r="K98" i="4"/>
  <c r="L84" i="4"/>
  <c r="K84" i="4"/>
  <c r="L83" i="4"/>
  <c r="K83" i="4"/>
  <c r="L82" i="4"/>
  <c r="K82" i="4"/>
  <c r="L81" i="4"/>
  <c r="K81" i="4"/>
  <c r="L78" i="4"/>
  <c r="K78" i="4"/>
  <c r="L77" i="4"/>
  <c r="L72" i="4"/>
  <c r="K72" i="4"/>
  <c r="L71" i="4"/>
  <c r="K71" i="4"/>
  <c r="K69" i="4"/>
  <c r="K85" i="4" l="1"/>
  <c r="L85" i="4"/>
  <c r="L73" i="4"/>
  <c r="K73" i="4"/>
  <c r="C39" i="4" l="1"/>
  <c r="W14" i="5" l="1"/>
  <c r="I14" i="5"/>
  <c r="V14" i="5" l="1"/>
  <c r="H14" i="5"/>
  <c r="U14" i="5" l="1"/>
  <c r="T14" i="5" l="1"/>
  <c r="F14" i="5"/>
  <c r="S14" i="5" l="1"/>
  <c r="E14" i="5"/>
  <c r="R14" i="5" l="1"/>
  <c r="D14" i="5"/>
  <c r="Q14" i="5" l="1"/>
  <c r="C14" i="5"/>
  <c r="D39" i="4" l="1"/>
  <c r="AD4" i="5" l="1"/>
  <c r="D6" i="4" s="1"/>
  <c r="D7" i="4" s="1"/>
  <c r="D8" i="4" s="1"/>
  <c r="AD5" i="5"/>
  <c r="D9" i="4" s="1"/>
  <c r="D10" i="4" s="1"/>
  <c r="D11" i="4" s="1"/>
  <c r="AD12" i="5"/>
  <c r="D30" i="4" s="1"/>
  <c r="D31" i="4" s="1"/>
  <c r="D32" i="4" s="1"/>
  <c r="AD16" i="5"/>
  <c r="D42" i="4" s="1"/>
  <c r="D43" i="4" s="1"/>
  <c r="D44" i="4" s="1"/>
  <c r="AD17" i="5"/>
  <c r="D45" i="4" s="1"/>
  <c r="D46" i="4" s="1"/>
  <c r="D47" i="4" s="1"/>
  <c r="AD18" i="5"/>
  <c r="D48" i="4" s="1"/>
  <c r="D49" i="4" s="1"/>
  <c r="D50" i="4" s="1"/>
  <c r="AD6" i="5"/>
  <c r="D12" i="4" s="1"/>
  <c r="D13" i="4" s="1"/>
  <c r="D14" i="4" s="1"/>
  <c r="AD7" i="5"/>
  <c r="D15" i="4" s="1"/>
  <c r="AD9" i="5"/>
  <c r="D21" i="4" s="1"/>
  <c r="D22" i="4" s="1"/>
  <c r="D23" i="4" s="1"/>
  <c r="AD10" i="5"/>
  <c r="D24" i="4" s="1"/>
  <c r="AD11" i="5"/>
  <c r="D27" i="4" s="1"/>
  <c r="AD20" i="5"/>
  <c r="D54" i="4" s="1"/>
  <c r="D55" i="4" s="1"/>
  <c r="D56" i="4" s="1"/>
  <c r="AD21" i="5"/>
  <c r="D57" i="4" s="1"/>
  <c r="D58" i="4" s="1"/>
  <c r="D59" i="4" s="1"/>
  <c r="AD22" i="5"/>
  <c r="D60" i="4" s="1"/>
  <c r="AD3" i="5"/>
  <c r="D3" i="4" s="1"/>
  <c r="D4" i="4" s="1"/>
  <c r="D5" i="4" s="1"/>
  <c r="P4" i="5"/>
  <c r="C6" i="4" s="1"/>
  <c r="C7" i="4" s="1"/>
  <c r="C8" i="4" s="1"/>
  <c r="P5" i="5"/>
  <c r="C9" i="4" s="1"/>
  <c r="C10" i="4" s="1"/>
  <c r="C11" i="4" s="1"/>
  <c r="P8" i="5"/>
  <c r="C18" i="4" s="1"/>
  <c r="C19" i="4" s="1"/>
  <c r="C20" i="4" s="1"/>
  <c r="P12" i="5"/>
  <c r="C30" i="4" s="1"/>
  <c r="C31" i="4" s="1"/>
  <c r="C32" i="4" s="1"/>
  <c r="P16" i="5"/>
  <c r="C42" i="4" s="1"/>
  <c r="C43" i="4" s="1"/>
  <c r="C44" i="4" s="1"/>
  <c r="P17" i="5"/>
  <c r="C45" i="4" s="1"/>
  <c r="C46" i="4" s="1"/>
  <c r="C47" i="4" s="1"/>
  <c r="P18" i="5"/>
  <c r="C48" i="4" s="1"/>
  <c r="C49" i="4" s="1"/>
  <c r="C50" i="4" s="1"/>
  <c r="P6" i="5"/>
  <c r="C12" i="4" s="1"/>
  <c r="C13" i="4" s="1"/>
  <c r="C14" i="4" s="1"/>
  <c r="P7" i="5"/>
  <c r="C15" i="4" s="1"/>
  <c r="P9" i="5"/>
  <c r="C21" i="4" s="1"/>
  <c r="C22" i="4" s="1"/>
  <c r="C23" i="4" s="1"/>
  <c r="P10" i="5"/>
  <c r="C24" i="4" s="1"/>
  <c r="P11" i="5"/>
  <c r="C27" i="4" s="1"/>
  <c r="P20" i="5"/>
  <c r="C54" i="4" s="1"/>
  <c r="C55" i="4" s="1"/>
  <c r="C56" i="4" s="1"/>
  <c r="P21" i="5"/>
  <c r="C57" i="4" s="1"/>
  <c r="C58" i="4" s="1"/>
  <c r="C59" i="4" s="1"/>
  <c r="P22" i="5"/>
  <c r="C60" i="4" s="1"/>
  <c r="P3" i="5"/>
  <c r="C3" i="4" s="1"/>
  <c r="C4" i="4" s="1"/>
  <c r="C5" i="4" s="1"/>
  <c r="O8" i="1" l="1"/>
  <c r="O7" i="1"/>
  <c r="Q13" i="5" l="1"/>
  <c r="C13" i="5"/>
  <c r="H13" i="5"/>
  <c r="U13" i="5"/>
  <c r="G13" i="5"/>
  <c r="V13" i="5"/>
  <c r="R13" i="5"/>
  <c r="D13" i="5"/>
  <c r="P13" i="5" l="1"/>
  <c r="C33" i="4" s="1"/>
  <c r="C34" i="4" s="1"/>
  <c r="C35" i="4" s="1"/>
  <c r="AD13" i="5"/>
  <c r="D33" i="4" s="1"/>
  <c r="D34" i="4" s="1"/>
  <c r="D35" i="4" s="1"/>
  <c r="AD8" i="5" l="1"/>
  <c r="D18" i="4" s="1"/>
  <c r="D19" i="4" s="1"/>
  <c r="D20" i="4" s="1"/>
  <c r="N7" i="1" l="1"/>
  <c r="J11" i="2" l="1"/>
  <c r="I11" i="2" s="1"/>
  <c r="N8" i="1" l="1"/>
  <c r="L8" i="1"/>
  <c r="M8" i="1" l="1"/>
  <c r="G11" i="2"/>
  <c r="G10" i="2"/>
  <c r="L6" i="1"/>
  <c r="H11" i="2"/>
  <c r="H10" i="2"/>
  <c r="L7" i="1"/>
  <c r="M7" i="1" s="1"/>
  <c r="G18" i="2" l="1"/>
  <c r="H18" i="2"/>
  <c r="I18" i="1"/>
  <c r="K18" i="1"/>
  <c r="J18" i="1"/>
  <c r="I8" i="2" l="1"/>
  <c r="L8" i="2" l="1"/>
  <c r="M8" i="2" s="1"/>
  <c r="Z19" i="5" l="1"/>
  <c r="AD19" i="5" s="1"/>
  <c r="D51" i="4" s="1"/>
  <c r="D52" i="4" s="1"/>
  <c r="D53" i="4" s="1"/>
  <c r="L17" i="1" l="1"/>
  <c r="L16" i="1"/>
  <c r="L15" i="1"/>
  <c r="L14" i="1"/>
  <c r="L13" i="1"/>
  <c r="L12" i="1"/>
  <c r="L11" i="1"/>
  <c r="L10" i="1"/>
  <c r="L9" i="1"/>
  <c r="F18" i="1"/>
  <c r="E18" i="1"/>
  <c r="D18" i="1"/>
  <c r="G18" i="1" l="1"/>
  <c r="H18" i="1"/>
  <c r="L18" i="1" l="1"/>
  <c r="AD14" i="5" l="1"/>
  <c r="D36" i="4" s="1"/>
  <c r="D37" i="4" l="1"/>
  <c r="D38" i="4" s="1"/>
  <c r="P14" i="5"/>
  <c r="C36" i="4" s="1"/>
  <c r="C37" i="4" s="1"/>
  <c r="C38" i="4" s="1"/>
  <c r="L19" i="5" l="1"/>
  <c r="P19" i="5" s="1"/>
  <c r="C51" i="4" s="1"/>
  <c r="C52" i="4" l="1"/>
  <c r="C53" i="4" s="1"/>
  <c r="I16" i="2"/>
  <c r="L16" i="2" s="1"/>
  <c r="I15" i="2"/>
  <c r="L15" i="2" s="1"/>
  <c r="I14" i="2"/>
  <c r="L14" i="2" s="1"/>
  <c r="I13" i="2"/>
  <c r="I12" i="2"/>
  <c r="L12" i="2" s="1"/>
  <c r="F11" i="2"/>
  <c r="J10" i="2"/>
  <c r="I10" i="2" s="1"/>
  <c r="F10" i="2"/>
  <c r="I9" i="2"/>
  <c r="L9" i="2" s="1"/>
  <c r="M7" i="2"/>
  <c r="F18" i="2" l="1"/>
  <c r="L11" i="2"/>
  <c r="M11" i="2" s="1"/>
  <c r="I18" i="2"/>
  <c r="J18" i="2"/>
  <c r="L10" i="2"/>
  <c r="L18" i="2" l="1"/>
  <c r="N18" i="2" s="1"/>
  <c r="M10" i="2"/>
  <c r="M18" i="2" l="1"/>
  <c r="N18" i="6" l="1"/>
  <c r="C49" i="6" l="1"/>
  <c r="I48" i="6" l="1"/>
  <c r="J6" i="6" l="1"/>
  <c r="J5" i="6"/>
  <c r="J7" i="6" s="1"/>
  <c r="H20" i="6" l="1"/>
  <c r="G19" i="6"/>
  <c r="G20" i="6" s="1"/>
  <c r="H32" i="6"/>
  <c r="G34" i="6"/>
  <c r="F34" i="6"/>
  <c r="E18" i="6" l="1"/>
  <c r="E20" i="6" s="1"/>
  <c r="G4" i="6" l="1"/>
  <c r="D36" i="6" l="1"/>
  <c r="D32" i="6" l="1"/>
  <c r="D28" i="6"/>
  <c r="E28" i="6" s="1"/>
  <c r="D24" i="6" l="1"/>
  <c r="D21" i="6"/>
  <c r="D16" i="6"/>
  <c r="D13" i="6" l="1"/>
  <c r="D12" i="6"/>
  <c r="D6" i="6"/>
  <c r="D14" i="6" l="1"/>
  <c r="A22" i="6"/>
  <c r="A19" i="6"/>
  <c r="A17" i="6" l="1"/>
  <c r="A12" i="6" l="1"/>
  <c r="A2" i="6"/>
  <c r="A5" i="6" l="1"/>
  <c r="J6" i="9" l="1"/>
  <c r="J7" i="9"/>
  <c r="L3" i="9"/>
  <c r="L6" i="9"/>
  <c r="L11" i="9" s="1"/>
  <c r="J11" i="9"/>
  <c r="J8" i="8"/>
  <c r="J13" i="8"/>
  <c r="J16" i="7"/>
  <c r="H18" i="8"/>
  <c r="G18" i="8"/>
  <c r="L6" i="7"/>
  <c r="L11" i="7" s="1"/>
  <c r="J6" i="7"/>
  <c r="L3" i="7"/>
  <c r="D3" i="8"/>
  <c r="G33" i="3" l="1"/>
  <c r="G28" i="3"/>
  <c r="M19" i="3"/>
  <c r="F22" i="3"/>
  <c r="G22" i="3" s="1"/>
  <c r="N10" i="3"/>
  <c r="M10" i="3"/>
  <c r="N4" i="3"/>
  <c r="D4" i="3" s="1"/>
  <c r="D7" i="3" s="1"/>
  <c r="K26" i="3" l="1"/>
  <c r="F21" i="3"/>
  <c r="G21" i="3" s="1"/>
  <c r="D5" i="3"/>
  <c r="C5" i="3" s="1"/>
  <c r="C4" i="3"/>
  <c r="F10" i="3"/>
  <c r="G10" i="3" s="1"/>
  <c r="F12" i="3"/>
  <c r="G12" i="3" s="1"/>
  <c r="O4" i="3"/>
  <c r="D6" i="3" s="1"/>
  <c r="C6" i="3" s="1"/>
  <c r="F16" i="3"/>
  <c r="L10" i="3" s="1"/>
  <c r="F14" i="3"/>
  <c r="G14" i="3" s="1"/>
  <c r="F19" i="3"/>
  <c r="G19" i="3" s="1"/>
  <c r="F23" i="3"/>
  <c r="G23" i="3" s="1"/>
  <c r="L3" i="3"/>
  <c r="F7" i="3" s="1"/>
  <c r="F11" i="3"/>
  <c r="G11" i="3" s="1"/>
  <c r="F13" i="3"/>
  <c r="F15" i="3"/>
  <c r="G15" i="3" s="1"/>
  <c r="F20" i="3"/>
  <c r="G20" i="3" s="1"/>
  <c r="B4" i="3" l="1"/>
  <c r="G11" i="9"/>
  <c r="H11" i="9" s="1"/>
  <c r="G6" i="9"/>
  <c r="G5" i="9"/>
  <c r="B6" i="3"/>
  <c r="G14" i="8"/>
  <c r="F25" i="3"/>
  <c r="L19" i="3" s="1"/>
  <c r="L26" i="3" s="1"/>
  <c r="L30" i="3" s="1"/>
  <c r="G16" i="3"/>
  <c r="G5" i="7"/>
  <c r="B5" i="3"/>
  <c r="G11" i="7"/>
  <c r="H11" i="7" s="1"/>
  <c r="G6" i="7"/>
  <c r="M26" i="3"/>
  <c r="G7" i="3"/>
  <c r="E7" i="3"/>
  <c r="G13" i="3"/>
  <c r="F17" i="3"/>
  <c r="G17" i="3" s="1"/>
  <c r="M3" i="3"/>
  <c r="G17" i="9" l="1"/>
  <c r="G20" i="9" s="1"/>
  <c r="I25" i="3"/>
  <c r="I24" i="3" s="1"/>
  <c r="N19" i="3" s="1"/>
  <c r="J3" i="9"/>
  <c r="G4" i="9"/>
  <c r="G3" i="9" s="1"/>
  <c r="H6" i="9" s="1"/>
  <c r="G25" i="3"/>
  <c r="J3" i="8"/>
  <c r="G19" i="8"/>
  <c r="G4" i="7"/>
  <c r="J3" i="7"/>
  <c r="G8" i="8"/>
  <c r="H8" i="8" s="1"/>
  <c r="H3" i="8" s="1"/>
  <c r="B7" i="3"/>
  <c r="N3" i="3"/>
  <c r="O3" i="3"/>
  <c r="F6" i="3" s="1"/>
  <c r="A8" i="6" l="1"/>
  <c r="F24" i="3"/>
  <c r="F26" i="3" s="1"/>
  <c r="J4" i="9"/>
  <c r="G20" i="8"/>
  <c r="H20" i="8" s="1"/>
  <c r="L3" i="8" s="1"/>
  <c r="L8" i="8" s="1"/>
  <c r="G21" i="8"/>
  <c r="G3" i="8"/>
  <c r="F5" i="3"/>
  <c r="F4" i="3"/>
  <c r="G6" i="3"/>
  <c r="E6" i="3"/>
  <c r="N26" i="3" l="1"/>
  <c r="G24" i="3"/>
  <c r="G26" i="3"/>
  <c r="F29" i="3"/>
  <c r="G4" i="3"/>
  <c r="F8" i="3"/>
  <c r="E4" i="3"/>
  <c r="G5" i="3"/>
  <c r="E5" i="3"/>
  <c r="I7" i="3" l="1"/>
  <c r="I6" i="3"/>
  <c r="G8" i="3"/>
  <c r="I4" i="3"/>
  <c r="F30" i="3"/>
  <c r="G30" i="3" s="1"/>
  <c r="G29" i="3"/>
  <c r="I5" i="3"/>
  <c r="E8" i="3"/>
  <c r="G3" i="7" l="1"/>
  <c r="H3" i="7" s="1"/>
  <c r="H6" i="7" s="1"/>
  <c r="J4" i="7"/>
  <c r="J11" i="7"/>
  <c r="L13" i="2"/>
</calcChain>
</file>

<file path=xl/sharedStrings.xml><?xml version="1.0" encoding="utf-8"?>
<sst xmlns="http://schemas.openxmlformats.org/spreadsheetml/2006/main" count="628" uniqueCount="499">
  <si>
    <r>
      <rPr>
        <sz val="11"/>
        <color theme="1"/>
        <rFont val="Times New Roman"/>
        <family val="1"/>
        <charset val="204"/>
      </rPr>
      <t>Програма за техническа помощ 2021-2027 г.</t>
    </r>
  </si>
  <si>
    <r>
      <rPr>
        <b/>
        <sz val="9"/>
        <color rgb="FF000000"/>
        <rFont val="Times New Roman"/>
        <family val="1"/>
        <charset val="204"/>
      </rPr>
      <t>EUR, принос на ЕС</t>
    </r>
  </si>
  <si>
    <r>
      <rPr>
        <b/>
        <sz val="13"/>
        <color rgb="FF000000"/>
        <rFont val="Times New Roman"/>
        <family val="1"/>
        <charset val="204"/>
      </rPr>
      <t>Таблица 10: Финансови бюджетни кредити по година</t>
    </r>
  </si>
  <si>
    <r>
      <rPr>
        <b/>
        <sz val="11"/>
        <color rgb="FF000000"/>
        <rFont val="Times New Roman"/>
        <family val="1"/>
        <charset val="204"/>
      </rPr>
      <t>Фонд</t>
    </r>
  </si>
  <si>
    <r>
      <rPr>
        <b/>
        <sz val="11"/>
        <color rgb="FF000000"/>
        <rFont val="Times New Roman"/>
        <family val="1"/>
        <charset val="204"/>
      </rPr>
      <t>Категория региони</t>
    </r>
  </si>
  <si>
    <r>
      <rPr>
        <b/>
        <sz val="11"/>
        <color rgb="FF000000"/>
        <rFont val="Times New Roman"/>
        <family val="1"/>
        <charset val="204"/>
      </rPr>
      <t>Общо</t>
    </r>
  </si>
  <si>
    <r>
      <rPr>
        <b/>
        <sz val="8"/>
        <rFont val="Times New Roman"/>
        <family val="1"/>
        <charset val="204"/>
      </rPr>
      <t>Финансови бюджетни кредити без стойност за гъвкавост‭ ‬</t>
    </r>
  </si>
  <si>
    <r>
      <rPr>
        <b/>
        <sz val="8"/>
        <rFont val="Times New Roman"/>
        <family val="1"/>
        <charset val="204"/>
      </rPr>
      <t>Стойност за гъвкавост</t>
    </r>
  </si>
  <si>
    <r>
      <rPr>
        <b/>
        <sz val="8"/>
        <rFont val="Times New Roman"/>
        <family val="1"/>
        <charset val="204"/>
      </rPr>
      <t>Финансови бюджетни кредити без стойност за гъвкавост‭ ‬</t>
    </r>
  </si>
  <si>
    <r>
      <rPr>
        <b/>
        <sz val="8"/>
        <rFont val="Times New Roman"/>
        <family val="1"/>
        <charset val="204"/>
      </rPr>
      <t>Стойност за гъвкавост</t>
    </r>
  </si>
  <si>
    <r>
      <rPr>
        <sz val="10"/>
        <color rgb="FF000000"/>
        <rFont val="Times New Roman"/>
        <family val="1"/>
        <charset val="204"/>
      </rPr>
      <t>ЕФРР</t>
    </r>
  </si>
  <si>
    <r>
      <rPr>
        <sz val="10"/>
        <color rgb="FF000000"/>
        <rFont val="Times New Roman"/>
        <family val="1"/>
        <charset val="204"/>
      </rPr>
      <t>По-слабо развити региони</t>
    </r>
  </si>
  <si>
    <r>
      <rPr>
        <sz val="11"/>
        <color rgb="FF000000"/>
        <rFont val="Times New Roman"/>
        <family val="1"/>
        <charset val="204"/>
      </rPr>
      <t xml:space="preserve"> - </t>
    </r>
  </si>
  <si>
    <r>
      <rPr>
        <sz val="10"/>
        <color rgb="FF000000"/>
        <rFont val="Times New Roman"/>
        <family val="1"/>
        <charset val="204"/>
      </rPr>
      <t>По-силно развити региони</t>
    </r>
  </si>
  <si>
    <r>
      <rPr>
        <sz val="10"/>
        <color rgb="FF000000"/>
        <rFont val="Times New Roman"/>
        <family val="1"/>
        <charset val="204"/>
      </rPr>
      <t xml:space="preserve">Преход </t>
    </r>
  </si>
  <si>
    <r>
      <rPr>
        <sz val="10"/>
        <color rgb="FF000000"/>
        <rFont val="Times New Roman"/>
        <family val="1"/>
        <charset val="204"/>
      </rPr>
      <t>Най-отдалечени региони и северни слабо населени региони</t>
    </r>
  </si>
  <si>
    <r>
      <rPr>
        <b/>
        <sz val="10"/>
        <color rgb="FF000000"/>
        <rFont val="Times New Roman"/>
        <family val="1"/>
        <charset val="204"/>
      </rPr>
      <t>Общо</t>
    </r>
  </si>
  <si>
    <r>
      <rPr>
        <b/>
        <sz val="11"/>
        <color rgb="FF000000"/>
        <rFont val="Times New Roman"/>
        <family val="1"/>
        <charset val="204"/>
      </rPr>
      <t xml:space="preserve"> - </t>
    </r>
  </si>
  <si>
    <r>
      <rPr>
        <sz val="10"/>
        <color rgb="FF000000"/>
        <rFont val="Times New Roman"/>
        <family val="1"/>
        <charset val="204"/>
      </rPr>
      <t>ЕСФ+</t>
    </r>
  </si>
  <si>
    <r>
      <rPr>
        <sz val="10"/>
        <color rgb="FF000000"/>
        <rFont val="Times New Roman"/>
        <family val="1"/>
        <charset val="204"/>
      </rPr>
      <t>По-слабо развити региони</t>
    </r>
  </si>
  <si>
    <r>
      <rPr>
        <sz val="11"/>
        <color rgb="FF000000"/>
        <rFont val="Times New Roman"/>
        <family val="1"/>
        <charset val="204"/>
      </rPr>
      <t xml:space="preserve"> - </t>
    </r>
  </si>
  <si>
    <r>
      <rPr>
        <sz val="10"/>
        <color rgb="FF000000"/>
        <rFont val="Times New Roman"/>
        <family val="1"/>
        <charset val="204"/>
      </rPr>
      <t>По-силно развити региони</t>
    </r>
  </si>
  <si>
    <r>
      <rPr>
        <sz val="10"/>
        <color rgb="FF000000"/>
        <rFont val="Times New Roman"/>
        <family val="1"/>
        <charset val="204"/>
      </rPr>
      <t xml:space="preserve">Преход </t>
    </r>
  </si>
  <si>
    <r>
      <rPr>
        <sz val="10"/>
        <color rgb="FF000000"/>
        <rFont val="Times New Roman"/>
        <family val="1"/>
        <charset val="204"/>
      </rPr>
      <t>Най-отдалечени региони и северни слабо населени региони</t>
    </r>
  </si>
  <si>
    <r>
      <rPr>
        <b/>
        <sz val="10"/>
        <color rgb="FF000000"/>
        <rFont val="Times New Roman"/>
        <family val="1"/>
        <charset val="204"/>
      </rPr>
      <t>Общо</t>
    </r>
  </si>
  <si>
    <r>
      <rPr>
        <sz val="10"/>
        <color rgb="FF000000"/>
        <rFont val="Times New Roman"/>
        <family val="1"/>
        <charset val="204"/>
      </rPr>
      <t>Кохезионен фонд</t>
    </r>
  </si>
  <si>
    <r>
      <rPr>
        <sz val="10"/>
        <color rgb="FF000000"/>
        <rFont val="Times New Roman"/>
        <family val="1"/>
        <charset val="204"/>
      </rPr>
      <t>неприложимо</t>
    </r>
  </si>
  <si>
    <r>
      <rPr>
        <sz val="10"/>
        <color rgb="FF000000"/>
        <rFont val="Times New Roman"/>
        <family val="1"/>
        <charset val="204"/>
      </rPr>
      <t>ЕФМДР</t>
    </r>
  </si>
  <si>
    <r>
      <rPr>
        <sz val="10"/>
        <color rgb="FF000000"/>
        <rFont val="Times New Roman"/>
        <family val="1"/>
        <charset val="204"/>
      </rPr>
      <t>неприложимо</t>
    </r>
  </si>
  <si>
    <r>
      <rPr>
        <b/>
        <sz val="10"/>
        <color rgb="FF000000"/>
        <rFont val="Times New Roman"/>
        <family val="1"/>
        <charset val="204"/>
      </rPr>
      <t>Общо</t>
    </r>
  </si>
  <si>
    <r>
      <rPr>
        <b/>
        <sz val="11"/>
        <color rgb="FF000000"/>
        <rFont val="Times New Roman"/>
        <family val="1"/>
        <charset val="204"/>
      </rPr>
      <t xml:space="preserve"> - </t>
    </r>
  </si>
  <si>
    <r>
      <rPr>
        <b/>
        <sz val="11"/>
        <color theme="1"/>
        <rFont val="Times New Roman"/>
        <family val="1"/>
        <charset val="204"/>
      </rPr>
      <t>Таблица 11: 3.2‭ ‬Общо финансови бюджетни кредити по фонд и национално съфинансиране</t>
    </r>
  </si>
  <si>
    <r>
      <rPr>
        <b/>
        <sz val="11"/>
        <color rgb="FF000000"/>
        <rFont val="Times New Roman"/>
        <family val="1"/>
        <charset val="204"/>
      </rPr>
      <t>Цели на политиката Не или ТП</t>
    </r>
  </si>
  <si>
    <r>
      <rPr>
        <b/>
        <sz val="11"/>
        <color rgb="FF000000"/>
        <rFont val="Times New Roman"/>
        <family val="1"/>
        <charset val="204"/>
      </rPr>
      <t>Приоритет</t>
    </r>
  </si>
  <si>
    <r>
      <rPr>
        <b/>
        <sz val="11"/>
        <color rgb="FF000000"/>
        <rFont val="Times New Roman"/>
        <family val="1"/>
        <charset val="204"/>
      </rPr>
      <t>Основа за изчисляване на подпомагането от ЕС‭ (‬общо или публично‭)</t>
    </r>
  </si>
  <si>
    <r>
      <rPr>
        <b/>
        <sz val="11"/>
        <color rgb="FF000000"/>
        <rFont val="Times New Roman"/>
        <family val="1"/>
        <charset val="204"/>
      </rPr>
      <t>Фонд</t>
    </r>
  </si>
  <si>
    <r>
      <rPr>
        <b/>
        <sz val="11"/>
        <color rgb="FF000000"/>
        <rFont val="Times New Roman"/>
        <family val="1"/>
        <charset val="204"/>
      </rPr>
      <t>Категория региони</t>
    </r>
  </si>
  <si>
    <r>
      <rPr>
        <b/>
        <sz val="11"/>
        <color rgb="FF000000"/>
        <rFont val="Times New Roman"/>
        <family val="1"/>
        <charset val="204"/>
      </rPr>
      <t xml:space="preserve">Принос на ЕС </t>
    </r>
  </si>
  <si>
    <r>
      <rPr>
        <b/>
        <sz val="11"/>
        <color rgb="FF000000"/>
        <rFont val="Times New Roman"/>
        <family val="1"/>
        <charset val="204"/>
      </rPr>
      <t>Национален принос</t>
    </r>
  </si>
  <si>
    <r>
      <rPr>
        <b/>
        <sz val="11"/>
        <color rgb="FF000000"/>
        <rFont val="Times New Roman"/>
        <family val="1"/>
        <charset val="204"/>
      </rPr>
      <t>Ориентировъчно разпределение на националното участие</t>
    </r>
  </si>
  <si>
    <r>
      <rPr>
        <b/>
        <sz val="11"/>
        <color rgb="FF000000"/>
        <rFont val="Times New Roman"/>
        <family val="1"/>
        <charset val="204"/>
      </rPr>
      <t>Общо</t>
    </r>
  </si>
  <si>
    <r>
      <rPr>
        <b/>
        <sz val="11"/>
        <color rgb="FF000000"/>
        <rFont val="Times New Roman"/>
        <family val="1"/>
        <charset val="204"/>
      </rPr>
      <t>Процент на съфинансиране</t>
    </r>
  </si>
  <si>
    <r>
      <rPr>
        <b/>
        <sz val="11"/>
        <color rgb="FF000000"/>
        <rFont val="Times New Roman"/>
        <family val="1"/>
        <charset val="204"/>
      </rPr>
      <t>публично‭</t>
    </r>
  </si>
  <si>
    <r>
      <rPr>
        <b/>
        <sz val="11"/>
        <color rgb="FF000000"/>
        <rFont val="Times New Roman"/>
        <family val="1"/>
        <charset val="204"/>
      </rPr>
      <t>частно‭</t>
    </r>
  </si>
  <si>
    <r>
      <rPr>
        <sz val="11"/>
        <color rgb="FF000000"/>
        <rFont val="Times New Roman"/>
        <family val="1"/>
        <charset val="204"/>
      </rPr>
      <t>(а)</t>
    </r>
  </si>
  <si>
    <r>
      <rPr>
        <sz val="11"/>
        <color rgb="FF000000"/>
        <rFont val="Times New Roman"/>
        <family val="1"/>
        <charset val="204"/>
      </rPr>
      <t>(б‭)=(в‬)+‭(‬г)</t>
    </r>
  </si>
  <si>
    <r>
      <rPr>
        <sz val="11"/>
        <color rgb="FF000000"/>
        <rFont val="Times New Roman"/>
        <family val="1"/>
        <charset val="204"/>
      </rPr>
      <t>(в)</t>
    </r>
  </si>
  <si>
    <r>
      <rPr>
        <sz val="11"/>
        <color rgb="FF000000"/>
        <rFont val="Times New Roman"/>
        <family val="1"/>
        <charset val="204"/>
      </rPr>
      <t>(г)</t>
    </r>
  </si>
  <si>
    <r>
      <rPr>
        <sz val="11"/>
        <color rgb="FF000000"/>
        <rFont val="Times New Roman"/>
        <family val="1"/>
        <charset val="204"/>
      </rPr>
      <t>(д)=(‬a‭)‬+‭(‬б)**</t>
    </r>
  </si>
  <si>
    <r>
      <rPr>
        <sz val="11"/>
        <color rgb="FF000000"/>
        <rFont val="Times New Roman"/>
        <family val="1"/>
        <charset val="204"/>
      </rPr>
      <t>(е‭)=(‬a‭)‬/‭(д)**</t>
    </r>
  </si>
  <si>
    <r>
      <rPr>
        <b/>
        <sz val="10"/>
        <color rgb="FF000000"/>
        <rFont val="Times New Roman"/>
        <family val="1"/>
        <charset val="204"/>
      </rPr>
      <t>TA</t>
    </r>
  </si>
  <si>
    <r>
      <rPr>
        <b/>
        <sz val="10"/>
        <color rgb="FF000000"/>
        <rFont val="Times New Roman"/>
        <family val="1"/>
        <charset val="204"/>
      </rPr>
      <t>Приоритет 1 ТП в съответствие с член 30, параграф 4</t>
    </r>
  </si>
  <si>
    <r>
      <rPr>
        <sz val="10"/>
        <color rgb="FF000000"/>
        <rFont val="Times New Roman"/>
        <family val="1"/>
        <charset val="204"/>
      </rPr>
      <t>публично‭</t>
    </r>
  </si>
  <si>
    <r>
      <rPr>
        <sz val="11"/>
        <color rgb="FF000000"/>
        <rFont val="Times New Roman"/>
        <family val="1"/>
        <charset val="204"/>
      </rPr>
      <t>ЕФРР</t>
    </r>
  </si>
  <si>
    <r>
      <rPr>
        <i/>
        <sz val="11"/>
        <color rgb="FF000000"/>
        <rFont val="Times New Roman"/>
        <family val="1"/>
        <charset val="204"/>
      </rPr>
      <t>Преход</t>
    </r>
  </si>
  <si>
    <r>
      <rPr>
        <b/>
        <sz val="10"/>
        <color rgb="FF000000"/>
        <rFont val="Times New Roman"/>
        <family val="1"/>
        <charset val="204"/>
      </rPr>
      <t>TA</t>
    </r>
  </si>
  <si>
    <r>
      <rPr>
        <b/>
        <sz val="10"/>
        <color rgb="FF000000"/>
        <rFont val="Times New Roman"/>
        <family val="1"/>
        <charset val="204"/>
      </rPr>
      <t>Приоритет 1 ТП в съответствие с член 30, параграф 4</t>
    </r>
  </si>
  <si>
    <r>
      <rPr>
        <sz val="10"/>
        <color rgb="FF000000"/>
        <rFont val="Times New Roman"/>
        <family val="1"/>
        <charset val="204"/>
      </rPr>
      <t>публично‭</t>
    </r>
  </si>
  <si>
    <r>
      <rPr>
        <sz val="11"/>
        <color rgb="FF000000"/>
        <rFont val="Times New Roman"/>
        <family val="1"/>
        <charset val="204"/>
      </rPr>
      <t>ЕФРР</t>
    </r>
  </si>
  <si>
    <r>
      <rPr>
        <i/>
        <sz val="11"/>
        <color rgb="FF000000"/>
        <rFont val="Times New Roman"/>
        <family val="1"/>
        <charset val="204"/>
      </rPr>
      <t>По-слабо развити региони</t>
    </r>
  </si>
  <si>
    <r>
      <rPr>
        <b/>
        <sz val="11"/>
        <color rgb="FF000000"/>
        <rFont val="Times New Roman"/>
        <family val="1"/>
        <charset val="204"/>
      </rPr>
      <t>Общо ЕФРР</t>
    </r>
  </si>
  <si>
    <r>
      <rPr>
        <i/>
        <sz val="11"/>
        <color rgb="FF000000"/>
        <rFont val="Times New Roman"/>
        <family val="1"/>
        <charset val="204"/>
      </rPr>
      <t>По-силно развити региони</t>
    </r>
  </si>
  <si>
    <r>
      <rPr>
        <i/>
        <sz val="11"/>
        <color rgb="FF000000"/>
        <rFont val="Times New Roman"/>
        <family val="1"/>
        <charset val="204"/>
      </rPr>
      <t>Преход</t>
    </r>
  </si>
  <si>
    <r>
      <rPr>
        <i/>
        <sz val="11"/>
        <color rgb="FF000000"/>
        <rFont val="Times New Roman"/>
        <family val="1"/>
        <charset val="204"/>
      </rPr>
      <t>По-слабо развити региони</t>
    </r>
  </si>
  <si>
    <r>
      <rPr>
        <i/>
        <sz val="11"/>
        <color rgb="FF000000"/>
        <rFont val="Times New Roman"/>
        <family val="1"/>
        <charset val="204"/>
      </rPr>
      <t xml:space="preserve">Най-отдалечени </t>
    </r>
  </si>
  <si>
    <r>
      <rPr>
        <b/>
        <sz val="11"/>
        <color rgb="FF000000"/>
        <rFont val="Times New Roman"/>
        <family val="1"/>
        <charset val="204"/>
      </rPr>
      <t>Общо ЕСФ+</t>
    </r>
  </si>
  <si>
    <r>
      <rPr>
        <i/>
        <sz val="8"/>
        <color rgb="FF000000"/>
        <rFont val="Times New Roman"/>
        <family val="1"/>
        <charset val="204"/>
      </rPr>
      <t>По-силно развити региони</t>
    </r>
  </si>
  <si>
    <r>
      <rPr>
        <i/>
        <sz val="8"/>
        <color rgb="FF000000"/>
        <rFont val="Times New Roman"/>
        <family val="1"/>
        <charset val="204"/>
      </rPr>
      <t>Преход</t>
    </r>
  </si>
  <si>
    <r>
      <rPr>
        <i/>
        <sz val="8"/>
        <color rgb="FF000000"/>
        <rFont val="Times New Roman"/>
        <family val="1"/>
        <charset val="204"/>
      </rPr>
      <t>По-слабо развити региони</t>
    </r>
  </si>
  <si>
    <r>
      <rPr>
        <i/>
        <sz val="8"/>
        <color rgb="FF000000"/>
        <rFont val="Times New Roman"/>
        <family val="1"/>
        <charset val="204"/>
      </rPr>
      <t>Специално разпределени средства за най-отдалечените или северни слабо населени региони</t>
    </r>
  </si>
  <si>
    <r>
      <rPr>
        <b/>
        <sz val="11"/>
        <color rgb="FF000000"/>
        <rFont val="Times New Roman"/>
        <family val="1"/>
        <charset val="204"/>
      </rPr>
      <t>Общо КФ</t>
    </r>
  </si>
  <si>
    <r>
      <rPr>
        <sz val="11"/>
        <color rgb="FF000000"/>
        <rFont val="Times New Roman"/>
        <family val="1"/>
        <charset val="204"/>
      </rPr>
      <t>неприложимо</t>
    </r>
  </si>
  <si>
    <r>
      <rPr>
        <b/>
        <sz val="11"/>
        <color rgb="FF000000"/>
        <rFont val="Times New Roman"/>
        <family val="1"/>
        <charset val="204"/>
      </rPr>
      <t>Общо</t>
    </r>
  </si>
  <si>
    <r>
      <rPr>
        <i/>
        <sz val="9"/>
        <color theme="1"/>
        <rFont val="Times New Roman"/>
        <family val="1"/>
        <charset val="204"/>
      </rPr>
      <t>Преход</t>
    </r>
  </si>
  <si>
    <r>
      <rPr>
        <i/>
        <sz val="9"/>
        <color theme="1"/>
        <rFont val="Times New Roman"/>
        <family val="1"/>
        <charset val="204"/>
      </rPr>
      <t>По-слабо развити региони</t>
    </r>
  </si>
  <si>
    <r>
      <rPr>
        <b/>
        <sz val="11"/>
        <color theme="1"/>
        <rFont val="Times New Roman"/>
        <family val="1"/>
        <charset val="204"/>
      </rPr>
      <t>Идентификационен номер</t>
    </r>
  </si>
  <si>
    <r>
      <rPr>
        <b/>
        <sz val="11"/>
        <color theme="1"/>
        <rFont val="Times New Roman"/>
        <family val="1"/>
        <charset val="204"/>
      </rPr>
      <t>Бенефициенти и заинтересовани страни, допринасящи за постигането на показатели:
Показатели:</t>
    </r>
  </si>
  <si>
    <r>
      <rPr>
        <b/>
        <sz val="11"/>
        <color theme="1"/>
        <rFont val="Times New Roman"/>
        <family val="1"/>
        <charset val="204"/>
      </rPr>
      <t>Етапна цел (2024)</t>
    </r>
  </si>
  <si>
    <r>
      <rPr>
        <sz val="9"/>
        <rFont val="Times New Roman"/>
        <family val="1"/>
        <charset val="204"/>
      </rPr>
      <t>ЦКЗ</t>
    </r>
  </si>
  <si>
    <r>
      <rPr>
        <sz val="9"/>
        <rFont val="Times New Roman"/>
        <family val="1"/>
        <charset val="204"/>
      </rPr>
      <t>ОО</t>
    </r>
  </si>
  <si>
    <r>
      <rPr>
        <sz val="9"/>
        <rFont val="Times New Roman"/>
        <family val="1"/>
        <charset val="204"/>
      </rPr>
      <t>СчО</t>
    </r>
  </si>
  <si>
    <r>
      <rPr>
        <sz val="9"/>
        <rFont val="Times New Roman"/>
        <family val="1"/>
        <charset val="204"/>
      </rPr>
      <t>АФКОС</t>
    </r>
  </si>
  <si>
    <r>
      <rPr>
        <sz val="9"/>
        <rFont val="Times New Roman"/>
        <family val="1"/>
        <charset val="204"/>
      </rPr>
      <t>АОП</t>
    </r>
  </si>
  <si>
    <r>
      <rPr>
        <sz val="9"/>
        <rFont val="Times New Roman"/>
        <family val="1"/>
        <charset val="204"/>
      </rPr>
      <t xml:space="preserve">НРПД </t>
    </r>
  </si>
  <si>
    <r>
      <rPr>
        <sz val="9"/>
        <rFont val="Times New Roman"/>
        <family val="1"/>
        <charset val="204"/>
      </rPr>
      <t>Общини</t>
    </r>
  </si>
  <si>
    <r>
      <rPr>
        <sz val="9"/>
        <rFont val="Times New Roman"/>
        <family val="1"/>
        <charset val="204"/>
      </rPr>
      <t>Гражданско общество</t>
    </r>
  </si>
  <si>
    <r>
      <rPr>
        <sz val="9"/>
        <rFont val="Times New Roman"/>
        <family val="1"/>
        <charset val="204"/>
      </rPr>
      <t>27 ОИЦ</t>
    </r>
  </si>
  <si>
    <r>
      <rPr>
        <sz val="9"/>
        <rFont val="Times New Roman"/>
        <family val="1"/>
        <charset val="204"/>
      </rPr>
      <t>Външни оценители на проекти</t>
    </r>
  </si>
  <si>
    <r>
      <rPr>
        <sz val="9"/>
        <rFont val="Times New Roman"/>
        <family val="1"/>
        <charset val="204"/>
      </rPr>
      <t>УО на ПТП</t>
    </r>
  </si>
  <si>
    <r>
      <rPr>
        <b/>
        <sz val="9"/>
        <color theme="1"/>
        <rFont val="Times New Roman"/>
        <family val="1"/>
        <charset val="204"/>
      </rPr>
      <t>Общо</t>
    </r>
  </si>
  <si>
    <r>
      <rPr>
        <sz val="9"/>
        <rFont val="Times New Roman"/>
        <family val="1"/>
        <charset val="204"/>
      </rPr>
      <t>ЦКЗ</t>
    </r>
  </si>
  <si>
    <r>
      <rPr>
        <sz val="9"/>
        <rFont val="Times New Roman"/>
        <family val="1"/>
        <charset val="204"/>
      </rPr>
      <t>ОО</t>
    </r>
  </si>
  <si>
    <r>
      <rPr>
        <sz val="9"/>
        <rFont val="Times New Roman"/>
        <family val="1"/>
        <charset val="204"/>
      </rPr>
      <t>СчО</t>
    </r>
  </si>
  <si>
    <r>
      <rPr>
        <sz val="9"/>
        <rFont val="Times New Roman"/>
        <family val="1"/>
        <charset val="204"/>
      </rPr>
      <t>АФКОС</t>
    </r>
  </si>
  <si>
    <r>
      <rPr>
        <sz val="9"/>
        <rFont val="Times New Roman"/>
        <family val="1"/>
        <charset val="204"/>
      </rPr>
      <t>АОП</t>
    </r>
  </si>
  <si>
    <r>
      <rPr>
        <sz val="9"/>
        <rFont val="Times New Roman"/>
        <family val="1"/>
        <charset val="204"/>
      </rPr>
      <t>НРПД</t>
    </r>
  </si>
  <si>
    <r>
      <rPr>
        <sz val="9"/>
        <rFont val="Times New Roman"/>
        <family val="1"/>
        <charset val="204"/>
      </rPr>
      <t>Гражданско общество</t>
    </r>
  </si>
  <si>
    <r>
      <rPr>
        <sz val="9"/>
        <rFont val="Times New Roman"/>
        <family val="1"/>
        <charset val="204"/>
      </rPr>
      <t>27 ОИЦ</t>
    </r>
  </si>
  <si>
    <r>
      <rPr>
        <sz val="9"/>
        <rFont val="Times New Roman"/>
        <family val="1"/>
        <charset val="204"/>
      </rPr>
      <t>Външни оценители на проекти</t>
    </r>
  </si>
  <si>
    <r>
      <rPr>
        <sz val="9"/>
        <rFont val="Times New Roman"/>
        <family val="1"/>
        <charset val="204"/>
      </rPr>
      <t>УО на ПТП</t>
    </r>
  </si>
  <si>
    <r>
      <rPr>
        <b/>
        <sz val="9"/>
        <color theme="1"/>
        <rFont val="Times New Roman"/>
        <family val="1"/>
        <charset val="204"/>
      </rPr>
      <t>Общо</t>
    </r>
  </si>
  <si>
    <r>
      <rPr>
        <sz val="11.5"/>
        <color theme="1"/>
        <rFont val="Times New Roman"/>
        <family val="1"/>
        <charset val="204"/>
      </rPr>
      <t xml:space="preserve">(О1-1) </t>
    </r>
  </si>
  <si>
    <r>
      <rPr>
        <sz val="11.5"/>
        <color theme="1"/>
        <rFont val="Times New Roman"/>
        <family val="1"/>
        <charset val="204"/>
      </rPr>
      <t>Проверки и одити, извършвани от одитиращи и/или контролни органи</t>
    </r>
  </si>
  <si>
    <r>
      <rPr>
        <sz val="11.5"/>
        <color theme="1"/>
        <rFont val="Times New Roman"/>
        <family val="1"/>
        <charset val="204"/>
      </rPr>
      <t>Нови функционалности на ИСУН</t>
    </r>
  </si>
  <si>
    <r>
      <rPr>
        <sz val="11.5"/>
        <color theme="1"/>
        <rFont val="Times New Roman"/>
        <family val="1"/>
        <charset val="204"/>
      </rPr>
      <t>Намалена административна тежест за кандидатите</t>
    </r>
  </si>
  <si>
    <r>
      <rPr>
        <sz val="11.5"/>
        <color theme="1"/>
        <rFont val="Times New Roman"/>
        <family val="1"/>
        <charset val="204"/>
      </rPr>
      <t xml:space="preserve">Информационни събития </t>
    </r>
  </si>
  <si>
    <r>
      <rPr>
        <sz val="11.5"/>
        <color theme="1"/>
        <rFont val="Times New Roman"/>
        <family val="1"/>
        <charset val="204"/>
      </rPr>
      <t>Уникални посещения на eufunds.bg годишно</t>
    </r>
  </si>
  <si>
    <r>
      <rPr>
        <sz val="11.5"/>
        <color theme="1"/>
        <rFont val="Times New Roman"/>
        <family val="1"/>
        <charset val="204"/>
      </rPr>
      <t>Импресии в социалните мрежи и платформи</t>
    </r>
  </si>
  <si>
    <r>
      <rPr>
        <sz val="11.5"/>
        <color theme="1"/>
        <rFont val="Times New Roman"/>
        <family val="1"/>
        <charset val="204"/>
      </rPr>
      <t xml:space="preserve">Ниво на информираност за европейските фондове сред широката общественост
</t>
    </r>
  </si>
  <si>
    <t>КОНЦЕПЦИЯ ЗА  ПРОГРАМА "НАУКА И ОБРАЗОВАНИЕ" 2021-2027 Г.</t>
  </si>
  <si>
    <t>Разпределение на финансовия ресурс по ПО 1</t>
  </si>
  <si>
    <t>Група дейности</t>
  </si>
  <si>
    <t>ФИ ЕС</t>
  </si>
  <si>
    <t>БФП+ФИ ЕС</t>
  </si>
  <si>
    <t>БФП+ФИ</t>
  </si>
  <si>
    <t>Бюджет в евро ЕС</t>
  </si>
  <si>
    <t>Бюджет в евро</t>
  </si>
  <si>
    <t>Бюджет в лева</t>
  </si>
  <si>
    <t>Начин на изпълнение</t>
  </si>
  <si>
    <t>% Разпределение от ПО1</t>
  </si>
  <si>
    <t>% за Хоризонт</t>
  </si>
  <si>
    <t>бюджет ПO 1 общо</t>
  </si>
  <si>
    <t>финасови инструменти (20%)</t>
  </si>
  <si>
    <t>БФП остатък бюджет ПO 1</t>
  </si>
  <si>
    <t>бюджет инфраструктура и оборудване (70%)</t>
  </si>
  <si>
    <t>бюджет научни изследвания (30%)</t>
  </si>
  <si>
    <t>ПО 1 Научна инфраструктура и изследвания (ЕФРР)</t>
  </si>
  <si>
    <t>Хоризонт Европа - инфраструктура и seal of excellence - инфраструктура, оборудване и изследвания</t>
  </si>
  <si>
    <t>Директно предоставяне</t>
  </si>
  <si>
    <t>Центрове за върхови постижения и Центрове за компетентност - инфраструктура, оборудване и научни изследвания (Директно предоставяне)</t>
  </si>
  <si>
    <t>Директно предоставяне</t>
  </si>
  <si>
    <t xml:space="preserve">Научни изследвания </t>
  </si>
  <si>
    <t>Конкретен бенефициент или Междинно звено за подбор на проекти/ АНИ (Агенция за наука и иновации )</t>
  </si>
  <si>
    <t>Финансови иснтрументи - заеми, гаранции, рисков капитал</t>
  </si>
  <si>
    <t>Фонд на фондовете/фонд за технологичен трансфер</t>
  </si>
  <si>
    <t>Общо за приоритетната ос</t>
  </si>
  <si>
    <t>ПО 2 Модернизация и качество на образованието (ЕСФ+)</t>
  </si>
  <si>
    <t>% Разпределение от ПО2</t>
  </si>
  <si>
    <t>бюджет ПО 2 общо</t>
  </si>
  <si>
    <t xml:space="preserve">Териториален иснтрумент </t>
  </si>
  <si>
    <t>Директно предоставяне</t>
  </si>
  <si>
    <t>Конкурентен подбор</t>
  </si>
  <si>
    <t>Качество в училищното образованието+ квалификация на педаг. спец. (промяна на уч. програми и методи на преподаване, нови умения на учениците и пед. Специалисти, мобилност)</t>
  </si>
  <si>
    <t>Директно предоставяне на МОН</t>
  </si>
  <si>
    <t>Модернизация на образованието/ ИКТ+ квалификация на педаг. спец. (иновации, дигитални ресурси, интерактивно съдържание, дигитална креативност, нови умения на учениците и пед. Специалисти, граждански ценности)</t>
  </si>
  <si>
    <t>Директно предоставяне на МОН</t>
  </si>
  <si>
    <t>Допълняемост с централно управлявани инструменти - Еразъм +, Хоризонт Европа, Мария Кюри</t>
  </si>
  <si>
    <t>Директно предоставяне на МОН</t>
  </si>
  <si>
    <t>Валидиране на знания и умения, професионални центрове за върхови постижения, учебно тренировъчни фирми, ученически практики</t>
  </si>
  <si>
    <t>Процедура на подбор с браншови организации</t>
  </si>
  <si>
    <t>Студентски практики (връзка с пазара на труда)</t>
  </si>
  <si>
    <t>Процедура на подбор висши училища</t>
  </si>
  <si>
    <t>Висше образование (дигитализация, подобряване качеството на управление и преподаване, учебни програми, връзка с пазара на труда, участие в международни мрежи, мобилност)</t>
  </si>
  <si>
    <t>Процедура на подбор висши училища</t>
  </si>
  <si>
    <r>
      <rPr>
        <b/>
        <sz val="12"/>
        <color theme="1"/>
        <rFont val="Candara"/>
        <family val="2"/>
        <charset val="204"/>
      </rPr>
      <t>Интегрирани териториални инвестиции (ИТИ)</t>
    </r>
    <r>
      <rPr>
        <sz val="12"/>
        <color theme="1"/>
        <rFont val="Candara"/>
        <family val="2"/>
        <charset val="204"/>
      </rPr>
      <t xml:space="preserve"> Професионално образование и обучение +квалификация на педаг. спец. (връзка с пазара на труда, ЦПО, дуална система на обучение, ученически практики)</t>
    </r>
  </si>
  <si>
    <t>Процедура на подбор</t>
  </si>
  <si>
    <t>Общо за приоритетната ос</t>
  </si>
  <si>
    <t xml:space="preserve">ПО 3 Приобщаващо образование (ЕСФ+)
</t>
  </si>
  <si>
    <t>% Разпределение от ПО2</t>
  </si>
  <si>
    <t>бюджет ПО 2 общо</t>
  </si>
  <si>
    <t xml:space="preserve">Териториален иснтрумент </t>
  </si>
  <si>
    <t>Директно предоставяне</t>
  </si>
  <si>
    <t>Конкурентен подбор</t>
  </si>
  <si>
    <t xml:space="preserve">Намаляване на преждевременно напусналите училище (обща подкрепа за личностно развитие, десегрегация,  ученици с пропуски в усвояването на уч. материал, ученици в риск от отпадане от обр. система) </t>
  </si>
  <si>
    <t>Директно предоставяне на МОН</t>
  </si>
  <si>
    <t>Активно приобщаване в предучилищно образование (обхват на децата, разработване на специализирани методики, педагогическа, психологическа и социална подкрепа на деца от уязвими социално слаби групи, промяна на уч. програми и методи на преподаване)</t>
  </si>
  <si>
    <t>Директно предоставяне на МОН</t>
  </si>
  <si>
    <t>Включващо обучение (подпомагане на младежи с увреждания и от уязвими социално слаби групи за кандидатстване във висши училища, алтернативни модели за работа с ученици с девиантно поведение, развитие на подкрепяща среда за деца и ученици със СОП)</t>
  </si>
  <si>
    <t>Директно предоставяне на МОН</t>
  </si>
  <si>
    <t>Талантливи деца и ученици с изявени дарби</t>
  </si>
  <si>
    <t>Директно предоставяне на МОН</t>
  </si>
  <si>
    <t xml:space="preserve">Ограмотяване на възрастни </t>
  </si>
  <si>
    <t>Процедура на подбор</t>
  </si>
  <si>
    <t>Проходимост на уязвими групи в отделните образователни етапи и достъп до висше образование.</t>
  </si>
  <si>
    <t>Процедура на подбор</t>
  </si>
  <si>
    <r>
      <rPr>
        <b/>
        <sz val="12"/>
        <color theme="1"/>
        <rFont val="Candara"/>
        <family val="2"/>
        <charset val="204"/>
      </rPr>
      <t>ВОМР -</t>
    </r>
    <r>
      <rPr>
        <sz val="12"/>
        <color theme="1"/>
        <rFont val="Candara"/>
        <family val="2"/>
        <charset val="204"/>
      </rPr>
      <t xml:space="preserve"> Работа с родители от уязвими групи (работа с родителите на децата в риск от ранно отпадане чрез включване на представители на неправителствени организации, образователни медиатори, социални работници, ромски авторитети и лидери, насърчаване на сътрудничеството с педагогическите специалисти)</t>
    </r>
  </si>
  <si>
    <t>Процедура на подбор</t>
  </si>
  <si>
    <t>бюджет ЕСФ общо</t>
  </si>
  <si>
    <t xml:space="preserve">Териториален иснтрумент </t>
  </si>
  <si>
    <t>Директно предоставяне</t>
  </si>
  <si>
    <t>Конкурентен подбор</t>
  </si>
  <si>
    <t>Общо за приоритетната ос</t>
  </si>
  <si>
    <t xml:space="preserve">ПО4 Техническа помощ (ЕСФ+)
</t>
  </si>
  <si>
    <t>Общо за приоритетната ос</t>
  </si>
  <si>
    <t>Общо за ЕСФ</t>
  </si>
  <si>
    <t>бюджет ОПНО общо</t>
  </si>
  <si>
    <t xml:space="preserve">Териториален иснтрумент </t>
  </si>
  <si>
    <t>Общо за оперативната програма</t>
  </si>
  <si>
    <t>общ брой деца</t>
  </si>
  <si>
    <t>общо учащи</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</si>
  <si>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</si>
  <si>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</si>
  <si>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</si>
  <si>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</si>
  <si>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</si>
  <si>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видове интервенции и примерна разбивка на програмираните средства в зависимост от вида интервенция или област на подпомагане;</t>
  </si>
  <si>
    <t xml:space="preserve">План за финансиране (в евро, европейско финансиране) 
БФП </t>
  </si>
  <si>
    <t>В т.ч. планирано използване на финансови инструменти;</t>
  </si>
  <si>
    <t>показателите за крайния продукт исъс съответните междинни цели и целеви стойности;</t>
  </si>
  <si>
    <t>Стойност</t>
  </si>
  <si>
    <t>показателите за резултата със съответните междинни цели и целеви стойности;</t>
  </si>
  <si>
    <t>Стойност</t>
  </si>
  <si>
    <t>Повишаване на конкурентоспособността и ефикасността на системата за научни изследвания, като се постави акцент върху постиганите резултати и се създадат стимули за привличане на квалифицирани научни изследователи (напр. подобряване на условията на труд, международно сътрудничество и мобилност, сътрудничество с бизнеса);
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</si>
  <si>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</si>
  <si>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r>
      <rPr>
        <b/>
        <sz val="9"/>
        <color theme="1"/>
        <rFont val="Times New Roman"/>
        <family val="1"/>
        <charset val="204"/>
      </rPr>
      <t>Приоритет 3: Научна инфраструктура и приложни изследвания</t>
    </r>
    <r>
      <rPr>
        <sz val="9"/>
        <color theme="1"/>
        <rFont val="Times New Roman"/>
        <family val="1"/>
        <charset val="204"/>
      </rPr>
      <t xml:space="preserve">
Цел: Подобряване на капацитета за научни изследвания, насочени към резултати, чрез модернизация на научната инфраструктура, подобряване на условията на труд и мобилност на учените. 
</t>
    </r>
  </si>
  <si>
    <t>Специфична цел i) Засилване на капацитета за научни изследвания и иновации и на въвеждането на модерни технологии</t>
  </si>
  <si>
    <t>1. Модернизиране на научноизследователската инфраструктура и оборудване, в т.ч. ИТ свързаност и съпътстващата инфраструктура в стратегически определени научни центрове за върхови постижения и центрове за компетентност</t>
  </si>
  <si>
    <t xml:space="preserve">003-Инвестиции в дълготрайни активи на публични изследователски центрове и висши учебни заведения пряко свързани с научноизследователски и иновационни дейности;
</t>
  </si>
  <si>
    <t>RCO 08 Номинална стойност на оборудването за научни изследвания и иновации</t>
  </si>
  <si>
    <t xml:space="preserve">RCR 01 Работни места, създадени в подкрепяните инфраструктури
</t>
  </si>
  <si>
    <t>006- Инвестиции в нематериални активи на публични изследователски центрове и висши учебни заведения, пряко свързани с научноизследователски и иновационни дейности;</t>
  </si>
  <si>
    <t>Общо 003+006</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</si>
  <si>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 за стратегически определени научни центрове за върхови постижения и центрове за компетентност</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</si>
  <si>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</si>
  <si>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</si>
  <si>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</si>
  <si>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3. Интернационализация на  в стратегически определени научни центрове за върхови постижения и центрове за компетентност, чрез:</t>
  </si>
  <si>
    <t>RCO 07 Научноизследователски институции участващи в съвместни проекти за научни изследвания;</t>
  </si>
  <si>
    <t xml:space="preserve">Изграждане на мрежи и съвместна научно-изследователска дейност с водещи европейски научни организации и университети, подкрепа за присъединяване към пан-европейски научно-изследователски инфраструктури </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</si>
  <si>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</si>
  <si>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</si>
  <si>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в  в стратегически определени научни центрове за върхови постижения и центрове за компетентност,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</si>
  <si>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</si>
  <si>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</si>
  <si>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</si>
  <si>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свободен достъп до тях</t>
  </si>
  <si>
    <t>• дейности по защита установяването, придобиването, защитаването и използване, управление  и прехвърляне на права по интелектуална собственостна п (подготовка на заявки за патенти и полезни модели и тяхната поддръжка; марки и други форми на  интелектуалната собственост; • Оценка на пазарния потенциал на научните разработки;</t>
  </si>
  <si>
    <t xml:space="preserve">• участие в научни форуми, </t>
  </si>
  <si>
    <t>• организиране на международни научни форуми;</t>
  </si>
  <si>
    <t>5. Подкрепа за високотехнологични стартиращи предприятия на подкрепените   стратегически определени научни центрове за върхови постижения и центрове за компетентност</t>
  </si>
  <si>
    <t>RCO 05 - Стартиращи предприятия</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</si>
  <si>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</si>
  <si>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</si>
  <si>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</si>
  <si>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</si>
  <si>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</si>
  <si>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видове интервенции и примерна разбивка на програмираните средства в зависимост от вида интервенция или област на подпомагане;</t>
  </si>
  <si>
    <t xml:space="preserve">План за финансиране (в евро, европейско финансиране) 
БФП </t>
  </si>
  <si>
    <t>В т.ч. планирано използване на финансови инструменти;</t>
  </si>
  <si>
    <t>показателите за крайния продукт исъс съответните междинни цели и целеви стойности;</t>
  </si>
  <si>
    <t>Стойност</t>
  </si>
  <si>
    <t>показателите за резултата със съответните междинни цели и целеви стойности;</t>
  </si>
  <si>
    <t>Стойност</t>
  </si>
  <si>
    <t>основните целеви групи;</t>
  </si>
  <si>
    <t>развиване на уменията в университетите и научноизследователските институции с цел увеличаване на търговската жизнеспособност и пазарното значение на научноизследователските им проекти и на способността за участие в научноизследователски консорциуми;
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</si>
  <si>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</si>
  <si>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t xml:space="preserve">Приоритет 3: Научна инфраструктура и приложни изследвания
</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</si>
  <si>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</si>
  <si>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</si>
  <si>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</si>
  <si>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</si>
  <si>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Изследователи в научни организации, преподаватели в университети, докторанти, постдокторанти, млади учени, студенти, представители на бизнеса.</t>
  </si>
  <si>
    <t>3. Интернационализация, чрез:</t>
  </si>
  <si>
    <t>RCO 07 Научноизследователски институции участващи в съвместни проекти за научни изследвания;</t>
  </si>
  <si>
    <t>Изграждане на мрежи и съвместна научно-изследователска дейност с водещи европейски научни организации и университети</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</si>
  <si>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</si>
  <si>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</si>
  <si>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</si>
  <si>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</si>
  <si>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</si>
  <si>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</si>
  <si>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свободен достъп до тях</t>
  </si>
  <si>
    <t>• дейности по защита и прехвърляне на права по интелектуална собственост (подготовка на заявки за патенти и полезни модели и тяхната поддръжка; марки и други форми на  интелектуалната собственост; • Оценка на пазарния потенциал на научните разработки;</t>
  </si>
  <si>
    <t xml:space="preserve">• участие в научни форуми, </t>
  </si>
  <si>
    <t>• организиране на международни научни форуми;</t>
  </si>
  <si>
    <t xml:space="preserve">5. Подкрепа за високотехнологични стартиращи предприятия </t>
  </si>
  <si>
    <t>RCO 05 - Стартиращи предприятия</t>
  </si>
  <si>
    <t>общо 009+021</t>
  </si>
  <si>
    <t>ЦК+ЦВП</t>
  </si>
  <si>
    <t>1.2 Изследвания</t>
  </si>
  <si>
    <t xml:space="preserve">Индикативен брой проекти </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</si>
  <si>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</si>
  <si>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</si>
  <si>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</si>
  <si>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</si>
  <si>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</si>
  <si>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показателите за крайния продукт исъс съответните междинни цели и целеви стойности;</t>
  </si>
  <si>
    <t>показателите за резултата със съответните междинни цели и целеви стойности;</t>
  </si>
  <si>
    <t>Кодове на интервенции</t>
  </si>
  <si>
    <t xml:space="preserve">План за финансиране (в евро, европейско финансиране)  </t>
  </si>
  <si>
    <t>видове интервенции и примерна разбивка на програмираните средства в зависимост от вида интервенция или област на подпомагане;</t>
  </si>
  <si>
    <t>планирано използване на техническа помощ в съответствие с членове 30—32 и съответните видове интервенции;</t>
  </si>
  <si>
    <t>планирано използване на финансови инструменти;</t>
  </si>
  <si>
    <t>основните целеви групи;</t>
  </si>
  <si>
    <r>
      <t xml:space="preserve">специфични целеви територии, </t>
    </r>
    <r>
      <rPr>
        <b/>
        <sz val="9"/>
        <color rgb="FF000000"/>
        <rFont val="Times New Roman"/>
        <family val="1"/>
        <charset val="204"/>
      </rPr>
      <t xml:space="preserve">включително </t>
    </r>
    <r>
      <rPr>
        <b/>
        <sz val="9"/>
        <color theme="1"/>
        <rFont val="Times New Roman"/>
        <family val="1"/>
        <charset val="204"/>
      </rPr>
      <t xml:space="preserve">планирано </t>
    </r>
    <r>
      <rPr>
        <b/>
        <sz val="9"/>
        <color rgb="FF000000"/>
        <rFont val="Times New Roman"/>
        <family val="1"/>
        <charset val="204"/>
      </rPr>
      <t>използване на интегрирани териториални инвестиции, водено от общностите местно развитие или други териториални инструменти;</t>
    </r>
  </si>
  <si>
    <r>
      <t>междурегионални и транснационални действия, при които бенефициерите се намират поне в още една друга държава членка</t>
    </r>
    <r>
      <rPr>
        <b/>
        <sz val="9"/>
        <color rgb="FF000000"/>
        <rFont val="Times New Roman"/>
        <family val="1"/>
        <charset val="204"/>
      </rPr>
      <t>;</t>
    </r>
  </si>
  <si>
    <t>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</si>
  <si>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</si>
  <si>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t xml:space="preserve">Приоритет 3: Научна инфраструктура и приложни изследвания
</t>
  </si>
  <si>
    <t>Специфична цел i) Засилване на капацитета за научни изследвания и иновации и на въвеждането на модерни технологии</t>
  </si>
  <si>
    <t>1. Модернизиране на научноизследователската инфраструктура и оборудване, в т.ч. съпътстващата инфраструктура в одобрени проекти по направление "Sharing Excellence" на Хоризонт Европа.</t>
  </si>
  <si>
    <t xml:space="preserve">003-Инвестиции в дълготрайни активи на публични изследователски центрове и висши учебни заведения пряко свързани с научноизследователски и иновационни дейности;
</t>
  </si>
  <si>
    <t>RCO 08 Номинална стойност на оборудването за научни изследвания и иновации</t>
  </si>
  <si>
    <t xml:space="preserve">RCR 01 Работни места, създадени в подкрепяните инфраструктури
</t>
  </si>
  <si>
    <t>Изследователи в научни организации, преподаватели в университети, докторанти, постдокторанти, млади учени, студенти, представители на бизнеса.</t>
  </si>
  <si>
    <t>006- Инвестиции в нематериални активи на публични изследователски центрове и висши учебни заведения, пряко свързани с научноизследователски и иновационни дейности;</t>
  </si>
  <si>
    <t>Общо 003+006</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</si>
  <si>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 за проекти по стълб II на Хоризонт Европа, получили печат за високи постижения</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</si>
  <si>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</si>
  <si>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</si>
  <si>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</si>
  <si>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3. Интернационализация за проекти по стълб II на Хоризонт Европа, получили печат за високи постижения, чрез:</t>
  </si>
  <si>
    <t>RCO 07 Научноизследователски институции участващи в съвместни проекти за научни изследвания;</t>
  </si>
  <si>
    <t>Изграждане на мрежи и съвместна научно-изследователска дейност с водещи европейски научни организации и университети</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</si>
  <si>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</si>
  <si>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</si>
  <si>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за проекти по стълб II на Хоризонт Европа, получили печат за високи постижения,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</si>
  <si>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</si>
  <si>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</si>
  <si>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</si>
  <si>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отворен достъп</t>
  </si>
  <si>
    <t>• дейности по защита и прехвърляне на права по интелектуална собственост (подготовка на заявки за патенти и полезни модели и тяхната поддръжка; марки и други форми на  интелектуалната собственост; Оценка на пазарния потенциал на научните разработки;</t>
  </si>
  <si>
    <t xml:space="preserve">• участие в научни форуми, </t>
  </si>
  <si>
    <t>• организиране на международни научни форуми;</t>
  </si>
  <si>
    <t>Общо 009+021</t>
  </si>
  <si>
    <t>Индикативен брой инфр. Проекти sharing excellence</t>
  </si>
  <si>
    <t>Идикат брой проекти стълб 2</t>
  </si>
  <si>
    <t>По-слабо развити региони</t>
  </si>
  <si>
    <t>ДП</t>
  </si>
  <si>
    <t>Преход</t>
  </si>
  <si>
    <t>Принос на ЕС без стойност за гъвкавост</t>
  </si>
  <si>
    <t>Ориентировъчно разпределение на‭ ‬приноса на ЕС</t>
  </si>
  <si>
    <t>Стойност за гъвкавост</t>
  </si>
  <si>
    <t>За програмите по цел „Инвестиции за работни места и растеж“ обаче за всяка програма във всяка държава членка се запазва сума, съответстваща на 50 % от участието за 2026 г. и 2027 г. („сума за гъвкавост“),само след приемането на решението на Комисията след междинния преглед по член 18.</t>
  </si>
  <si>
    <t>%</t>
  </si>
  <si>
    <t>стойност за гъвкавост</t>
  </si>
  <si>
    <t>2. Укрепване на капацитета на органите, бенефициентите и партньорите</t>
  </si>
  <si>
    <t>(О1-1) Аналитични доклади и стратегически документи</t>
  </si>
  <si>
    <t>Цел (2029)</t>
  </si>
  <si>
    <t>брой</t>
  </si>
  <si>
    <t>Мерна единица</t>
  </si>
  <si>
    <t>Етапна цел (2024)</t>
  </si>
  <si>
    <t xml:space="preserve">(О1-2) </t>
  </si>
  <si>
    <t>Аналитични доклади и стратегически документи</t>
  </si>
  <si>
    <t xml:space="preserve">(О1-2) Хоризонтални и междусекторни оценки </t>
  </si>
  <si>
    <t>(О1-3)</t>
  </si>
  <si>
    <t>(О1-4)</t>
  </si>
  <si>
    <t>Общини</t>
  </si>
  <si>
    <t>ИПА</t>
  </si>
  <si>
    <t xml:space="preserve">2. Укрепване на капацитета на органите, бенефициентите и партньорите
</t>
  </si>
  <si>
    <t>Намалена административна тежест за бенефициентите</t>
  </si>
  <si>
    <t xml:space="preserve">Специфична цел </t>
  </si>
  <si>
    <t>Показатели за краен  продукт</t>
  </si>
  <si>
    <t xml:space="preserve">Определение </t>
  </si>
  <si>
    <t>Методология (метод на изчисляване)</t>
  </si>
  <si>
    <t>Индикативен списък с действия</t>
  </si>
  <si>
    <t>Очаквани постижения/резултати</t>
  </si>
  <si>
    <t xml:space="preserve">Вид интервенции и индикативно разпределнеие на ресурсите по ПТП повид интервенция или област на подкрепа </t>
  </si>
  <si>
    <t>Стойности на кодове за интервенция (финансиране от ЕС) (EUR)</t>
  </si>
  <si>
    <t>Общо (европейско + национално съфинансиране) (BGN)</t>
  </si>
  <si>
    <t>% ЕФРР</t>
  </si>
  <si>
    <t>1. Оптимизиране на средата за изпълнение на СП</t>
  </si>
  <si>
    <t>% от общата стойност на възнагражденията на служителите на ЦКЗ</t>
  </si>
  <si>
    <t>% от общата стойност на възнагражденията на служителите на ОО</t>
  </si>
  <si>
    <t>% от общата стойност на възнагражденията на служителите на СчО</t>
  </si>
  <si>
    <t>% от общата стойност на възнагражденията на служителите на АФКОС</t>
  </si>
  <si>
    <t>% от общата стойност на възнагражденията на служителите на АОП</t>
  </si>
  <si>
    <t>% от общата стойност на възнагражденията на служителите на НСУИ на НРПД</t>
  </si>
  <si>
    <t xml:space="preserve">(О1-3) Методически указания и проекти на нормативни актове </t>
  </si>
  <si>
    <t>% от общата стойност на възнагражденията на служителите на УО на ПТП</t>
  </si>
  <si>
    <r>
      <rPr>
        <b/>
        <sz val="9"/>
        <color theme="1"/>
        <rFont val="Times New Roman"/>
        <family val="1"/>
        <charset val="204"/>
      </rPr>
      <t>Стойност на кодове за интервенция (европейско финансиране) (EUR)</t>
    </r>
  </si>
  <si>
    <r>
      <rPr>
        <b/>
        <sz val="9"/>
        <color theme="1"/>
        <rFont val="Times New Roman"/>
        <family val="1"/>
        <charset val="204"/>
      </rPr>
      <t>ОБЩО (европейско + национално съфинансиране) (BGN)</t>
    </r>
  </si>
  <si>
    <t>179 - Преход</t>
  </si>
  <si>
    <t>179 - По-слабо развити</t>
  </si>
  <si>
    <t>180 - Преход</t>
  </si>
  <si>
    <t>180 - По-слабо развити</t>
  </si>
  <si>
    <t>181 - Преход</t>
  </si>
  <si>
    <t>181 - По-слабо развити</t>
  </si>
  <si>
    <t>182 - Преход</t>
  </si>
  <si>
    <t>182 - По-слабо развити</t>
  </si>
  <si>
    <t>закръглено евро</t>
  </si>
  <si>
    <t>Единна информационна система за държавни помощи</t>
  </si>
  <si>
    <t>3. Ангажиране на СИП и ОГО за добро управление на фондовете</t>
  </si>
  <si>
    <t xml:space="preserve">Хоризонтални и междусекторни оценки </t>
  </si>
  <si>
    <t xml:space="preserve">Методически указания и проекти на нормативни актове </t>
  </si>
  <si>
    <t>Служители на Системата, чиито възнаграждения се възстановяват</t>
  </si>
  <si>
    <t xml:space="preserve">Брой обучени </t>
  </si>
  <si>
    <t xml:space="preserve">Модули за обучения по хоризонтални теми </t>
  </si>
  <si>
    <t xml:space="preserve">Дял на обучените, преминали успешно тест за усвоени знания </t>
  </si>
  <si>
    <t>ОГО и общини с повишен капацитет</t>
  </si>
  <si>
    <t xml:space="preserve">ОГО и СИП, ангажирани с мониторинг и оценка на СП </t>
  </si>
  <si>
    <t>ОГО и СИП, ангажирани с популяризиране на  резултатите от СП</t>
  </si>
  <si>
    <t xml:space="preserve">Дял процедури за възлагане на обществени поръчки, при които са спазени препоръките на АОП </t>
  </si>
  <si>
    <t>4. Прозрачност, ефективна комуникация и популяризиране на подкрепата от фондовете и постигнатите резултати</t>
  </si>
  <si>
    <t xml:space="preserve">(О2-1) Модули за обучения по хоризонтални теми </t>
  </si>
  <si>
    <t xml:space="preserve">(О2-3) Дял на обучените, преминали успешно тест за усвоени знания </t>
  </si>
  <si>
    <t>(О3-1) ОГО и СИП, ангажирани с мониторинг и оценка на СП</t>
  </si>
  <si>
    <t>(О1-5)</t>
  </si>
  <si>
    <t xml:space="preserve">(О1-7) </t>
  </si>
  <si>
    <t xml:space="preserve">(O1-9) </t>
  </si>
  <si>
    <t>(О2-1)</t>
  </si>
  <si>
    <t>(О2-2)</t>
  </si>
  <si>
    <t>(О2-3)</t>
  </si>
  <si>
    <t>(О2-4)</t>
  </si>
  <si>
    <t>(О3-1)</t>
  </si>
  <si>
    <t>(О4-1)</t>
  </si>
  <si>
    <t xml:space="preserve">(О4-2) </t>
  </si>
  <si>
    <t xml:space="preserve">(О4-3)  </t>
  </si>
  <si>
    <t xml:space="preserve">(О4-4)  </t>
  </si>
  <si>
    <t xml:space="preserve">(O4-5) </t>
  </si>
  <si>
    <t xml:space="preserve">Брой разработени/актуализирани аналитични доклади и стратегически документи.
Всеки доклад и документ трябва да бъде консултиран с и разпространен до всички заинтересовани страни (структури в Системата, партньорски организации и др.).
</t>
  </si>
  <si>
    <t>1. Набиране,‭ ‬обобщаване и/или анализ на информация от работата на Системата;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
3. Изготвяне на годишен анализ на основните констатации от одити на системата и годишен анализ на грешки с финансово въздействие от одита на операциите
4. Изготвяне на годишен анализ на основните констатации от проверки за открити нередности, включително измами, и последващи действия;
5. Изготвяне на годишен анализ на основните грешки, свързани с правилата за държавни помощи;
6. Подготовка на стратегии и пътни карти за Системата.</t>
  </si>
  <si>
    <t xml:space="preserve">Брой хоризонтални и междусекторни оценки, извършени в съответствие с Плана за оценка на ПТП/СП. В следствие на всяка разработена оценка е утвърден план за действие.
Всеки доклад от оценка и документ за събрани данни на хоризонтално ниво е консултиран с и разпространен сред всички заинтересовани страни (структури в Системата, партньорски организации и др.).
</t>
  </si>
  <si>
    <t xml:space="preserve">Брой изготвени/ актуализирани методически указания, разпространени в Системата и брой на влезлите в сила нови/ актуализирани национални нормативни актове за управлението и конторла на ЕСИФ/ фондовете на РОР. </t>
  </si>
  <si>
    <t xml:space="preserve">1. Разработване на методически насоки за рационализиране на правилата и процедурите за подобрена ефективност при управлението на средствата по ЕСИФ/ фондовете на РОР:
- Насърчаване на по-широко използване на опростени разходи;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и др.
2. Изготвяне на наръчници, документи и експертни становища, свързани с прилагането на държавна помощ, обществени поръчки, откриване (използване на подходящи червени флагове), докладване и осигуряване на последващи действия във връзка с нередности и измами, засягащи финансовите интереси на ЕС, одит и контрол. Превод и адаптация на международни насоки и тълкуване на съдебната практика.
3. Разработване на нови/ актуализирани национални разпоредби за средствата по ЕСИФ/ фондовете на РОР; 
4. Разработване на информационно и/или обучително съдържание. </t>
  </si>
  <si>
    <r>
      <t>Разработени и разпространени аналитични доклади и стратегически документи на Системата;
Оптимизирани административни процеси/ процедури в Системата; 
Повишено ниво на превенция и борба с нередностите и измамите, засягащи финансовите интереси на ЕС при изпълнението на СП;
Актуализирана национална пътна карта на административен капацитет.</t>
    </r>
    <r>
      <rPr>
        <b/>
        <sz val="9"/>
        <rFont val="Times New Roman"/>
        <family val="1"/>
        <charset val="204"/>
      </rPr>
      <t xml:space="preserve">
</t>
    </r>
  </si>
  <si>
    <t xml:space="preserve">Методически насоки и национални разпоредби за управление и конторл на средствата по ЕСИФ/фондовете на РОР; 
Оптимизирани административни процеси/ процедури във всички структури на Системата; 
Намален брой основни констатации от системни одити и грешки с финансово въздействие;
Намалена административна тежест за кандидати и бенефициенти;
Намален брой на грешките на кандидати и бенефициенти;
Повишено ниво на превенция и откриване на нередности, измами и корупция в проекти, финансирани от фондове на РОР;
Използване на добри практики, по-широко използване на опростени разходи, зелени и устойчиви обществени поръчки и др. </t>
  </si>
  <si>
    <t>Брой извършени проверки и одити в Системата, завършени с окончателен доклад, изготвен от одитен и/или контролен орган в рамките на правомощията им.</t>
  </si>
  <si>
    <t xml:space="preserve">1. Проверки и/или одити, извършени от Одитиращ орган, Счетоводен орган, АФКОС, АОП.
</t>
  </si>
  <si>
    <t>(О3-2) ОГО и СИП, ангажирани с популяризиране на  резултатите от СП</t>
  </si>
  <si>
    <t xml:space="preserve">(О4-1‭) ‬Информационни събития‭ </t>
  </si>
  <si>
    <t>(О4-3) Импресии в социалните мрежи и платформи</t>
  </si>
  <si>
    <t>АОП извършва предварителен контрол на процедури за обществени поръчки, финансирани от фондовете на РОР на два етапа. При първия етап се дават препоръки за отстраняване на пропуски преди обявяване на процедурата. На вторият етап се проследява тяхното изпълнение от страна на възложителите по ЗОП.
Индикаторът измерва при какъв процент от процедурите за ОП са отстранени пропуски преди обявяването им в следствие на контрола, извършван от АОП.
Индикаторът ще допринесе за повишаване на качеството на проверките, извършвани от АОП.
Индикаторът ще допринесе за намаляване на грешките, свързани с ОП.</t>
  </si>
  <si>
    <t xml:space="preserve">1. Надграждане на функционалността на ЦАИС ЕОП за филтриране на процедурите за ОП, съ-финансирани от фондовете на РОР;
2. Анализ на причините, поради които възложителите не спазват дадените от АОП препоръки;
3. Подобряване на качеството на дадените от АОП препоръки.
</t>
  </si>
  <si>
    <t xml:space="preserve">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t>
  </si>
  <si>
    <t>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t>
  </si>
  <si>
    <t>Брой разработени нови функционалности на ИСУН за подготовка, изпълнение, мониторинг, контрол, управление и оценка на средствата от фондовете на РОР.</t>
  </si>
  <si>
    <t>Подобрена електронна среда за подготовка, изпълнение, мониторинг, контрол, управление на програми от СП;
Подобрена електронна среда за събиране, обработка и анализ на данни за оценки, необходими за целите на оценките на  програми от СП;
Бързо адаптиране на ИСУН към нуждите на потребителите на системата;
Намалена административна тежест за УО-и, кандидати и бенефициенти.</t>
  </si>
  <si>
    <t xml:space="preserve">1. Подобряване на процесите по подготовка, изпълнение, мониторинг, контрол, управление на програми от СП; 
2. Интеграция с други сиситеми и регистри, в това число хоризнталните системи на електронното управление и с НГП и др.
</t>
  </si>
  <si>
    <t xml:space="preserve">Подобрена електронна среда за кандидатстване и оценка на проектни предложения по програми от СП;
Бързо адаптиране на ИСУН към нуждите на потребителите на системата;
Намалена административна тежест за УО-и и кандидатите.
</t>
  </si>
  <si>
    <t>Подобрена електронна среда за мониторинг и верификация на проектни предложения по програми от СП;
Бързо адаптиране на ИСУН към нуждите на потребителите на системата;
Намалена административна тежест за УО-и и бенефициентите.</t>
  </si>
  <si>
    <t>Брой служители на хоризонтално ниво в органи/ звена от Системата на служебно или трудово правоотношение), вкл. служители на УО на ПТП, чиито възнаграждения се възстановяват по програмата.</t>
  </si>
  <si>
    <t>Поддържане на високи нива на компетентност,‭ ‬мотивация и ангажираност на служителите,‭ ‬които да гарантират ефективното изпълнение на задълженията по политиката на сближаване (‬включително методически функции по отношение на плавния преход между програмните периоди:‭ 2014-2020, 2021-2027 и финансовата перспектива след 2027 г.).</t>
  </si>
  <si>
    <t xml:space="preserve">Под "модул за обучение" се разбира съдържание, разработено от бенефициент по ПТП, отговорен за съответната хоризонтална тема, което задължително съдържа: програма, теоретична част, практическа част в т.ч. казуси, примери и др., тест за % на усвоените знания. 
Съдържанието следва да позволява обучението да се проведе както в присъствена, така и в дистанционна форма.
</t>
  </si>
  <si>
    <t>1. Събиране на информация за обучително съдържание посредством анализи, проучвания, обобщаване на данни, примери за добри практики и др.;
2. Структуриране на събраната информация в обучително съдържание;
3. Разработване на варианти за обучителен модул, проведен в присъствена и в дистанционна форма;
4. Подготовка на служители, които да проведат обучението;
5. Събиране и обработка на данни от получена обратна връзка от обучените лица;
6. Актуализация на обучителния модул в т.ч. съдържание, формат, лектор и др. на база извършени анализи и получени предложения и препоръки.</t>
  </si>
  <si>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 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</si>
  <si>
    <t>Осигурен компетентен, силно мотивиран, ангажиран и опитен персонал и експертиза за Системата;
Ниско текучество на персонала.</t>
  </si>
  <si>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 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</si>
  <si>
    <t>(О2-2) Обучени служители от системата, ключови бенефициенти и партньорски организации</t>
  </si>
  <si>
    <r>
      <t xml:space="preserve">Брой служители на Системата, на ключови бенефициенти по програмите от СП и на партньорски организации, вкл. и обучени външни оценители, преминали през курс на обучение, по проект по ПТП.  
</t>
    </r>
    <r>
      <rPr>
        <i/>
        <sz val="9"/>
        <rFont val="Times New Roman"/>
        <family val="1"/>
        <charset val="204"/>
      </rPr>
      <t xml:space="preserve">
</t>
    </r>
  </si>
  <si>
    <t xml:space="preserve">1. Развитие на Академията за фондовете на ЕС, която да осигури възможност за повишаване на квалификацията и уменията на служителите в рамките на Системата, както и на ключовите групи бенефициенти по програмите (вкл. общини) по хоризонтални/междусекторни теми/области чрез:
- Разработване на обучителни модули, въз основа на оценка на базовите компетенции на целевите групи, и осигуряване на лектори от съответните администрации, отговорни за ключови хоризонтални области като режими на помощ, обществени поръчки, намаляване на броя и тежестта на нередностите, включително измами и корупция, одит, централна координация на средствата от фондовете, НРПД и др.  
- Провеждане на хоризонтални обучения и последваща оценка в специализирана електронна среда на нивото на компетенции.
- Регулярен анализ на резултатите от оценяването и актуализиране на обучителното съдържание и използвани методи, съобразно обратната връзка от участниците. 
2. Провеждане на специализирани обучения за външни оценители на проекти със специален фокус върху прилагането на правилата за фондовете на РОР и ефективно използване на ИСУН;
3. Участие в специализирани събития на национални и европейски центрове за обучение на служителите от хоризонталните звена на Системата;
4. Участие в работни групи, семинари, конференции за трансфер на добри практики, организирани от европейски и национални институции.
  </t>
  </si>
  <si>
    <t xml:space="preserve">Индикаторът измерва степента на придобитите знания само от обученията по хоризонтали теми, отчетени в индикатор О2-1.
Под успешно преминаване на тест за усвоени знания се разбира постигане на поне 75% верни отговори на финалния тест.
</t>
  </si>
  <si>
    <t>1. обучения по хоризонтални теми, за които е отчетено разработване на обучителен модул в индикатор О2-1. 
- Разработване на тест за % на усвоените знания;
- Обобщаване на резултатите от проведените тестове;  
- Текущо изпращане на обратна връзка до институцията, разработила съответния обучителен модул.</t>
  </si>
  <si>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 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Повишено качеството на обучението;
Повишена мотивацията на участниците в събитията. 
                                                                                                        </t>
  </si>
  <si>
    <t xml:space="preserve">Брой организации на гражданското общество (ОГО) и общини - бенефициенти по ПТП и/или целева група по проекти по ПТП, подкрепени за: 
- повишаване на капацитета за подготовка, изпълнение, популяризиране и оценка на програмите от СП и работа в партньорство; 
- общински капацитет за стратегическо планиране и активно участие в инициативи на ЕС.
</t>
  </si>
  <si>
    <t xml:space="preserve">Повишен капацитет на партньорите - общини и ОГО, за активното им ангажиране при изпълнението на СП;
Намален брой нередности;
Качествени и полезни за местните общности ИТИ; 
Повишен капацитет на ОГО за подготовка, изпълнение, популяризиране и оценка на програмите от СП и работа в партньорство, със специален акцент за откриване на нередности и докладване; и събиране и интерпретация на данни, използване на ИКТ решения в работните процеси; мониторинг на политики; работа в мрежи. 
Повишен общински капацитет за стратегическо планиране и активно участие в инициативи на ЕС; 
Осигурена квалифицирана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</si>
  <si>
    <t>1. Повишаване капацитета на ОГО за укрепване на принципа на партньорство и за активното им участие в разработването, изпълнението и мониторинг на програмите от СП (напр. чрез организиране на специални работни срещи, обучителни сесии, координационни и мрежови структури, участие в срещи за подготовка, изпълнение, наблюдение и оценка на програми; улесняване на обмена на опит и взаимното обучение);
2. Провеждане на дискусионни форуми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t>
  </si>
  <si>
    <t xml:space="preserve">Брой ОГО и СИП (бенефициент или партньор) подкрепени за:
- събиране, обработка и анализ на данни, необходими за целите на оценките на програми от СП (в т.ч. хоризонтални и междусекторни оценки);
- провеждане на мониторинг на политики и програми от СП.
</t>
  </si>
  <si>
    <t>181- Преход</t>
  </si>
  <si>
    <t>1. Идентифициране на подходящи инструменти за събиране и/или анализ на алтернативни данни, необходими за оценки на програми по СП и създаване на предпоставки за тяхното използване;
2. Събиране, обработка и интерпретация на събраните от ОГО и СИП данни;
3. Предложения за усъвършенстване на използваните методологии при извършване на оценки по програми от СП;
4. Извършване на мониторинг на политики по СП;
5. Извеждане на препоръки въз основа на извършения мониториг и събраните данни;
6. Създаване на ефективен механизъм за използване на събраните данни от всички заинтересовани от Системата;
7. Провеждане на събития за разпространение на резултатите от извършените дейности.</t>
  </si>
  <si>
    <t xml:space="preserve">Повишено обществено доверие в Системата; 
Алтернативна гледна точка към изпълнението на програмите от СП;
Подобрен и ускорен процес по оценки на програми от СП;
Подобрено изпълнение на политики, съ-финансирани от фондовете на РОР чрез по-ефективен и навременен мониторинг. </t>
  </si>
  <si>
    <t xml:space="preserve">Брой ОГО и СИП (бенефициент или партньор), подкрепени за провеждане на информационни събития с цел популяризиране на резултатите от програмите от СП.
Отчитат се ОГО и СИП, провели събития в присъствена или дистанционна форма.
</t>
  </si>
  <si>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t>
  </si>
  <si>
    <t>Брой събития с цел информиране за възможностите за подкрепа и  популяризиране на резултатите по програмите от СП, проведени от бенефициенти или партньори по проекти по програмата.</t>
  </si>
  <si>
    <t xml:space="preserve">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t>
  </si>
  <si>
    <t>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По-висока степен прозрачност и отчетност при изпълнението на СП.</t>
  </si>
  <si>
    <t xml:space="preserve">Брой импресии, отчетени от статистиката в съответните профили на управлявани от бенефициентите на ПТП (ЦКЗ, ОИЦ и др.) социални платформи. </t>
  </si>
  <si>
    <t>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По-силно чувство за собственост върху резултатите от страна на гражданите;
По-висока степен прозрачност и отчетност при изпълнението на СП.</t>
  </si>
  <si>
    <t xml:space="preserve">Информираността на широката общественост за програмите от СП се измерва чрез самооценка на респондентите относно познаването на проекти/ дейности/ резултати, съ-финансирани по програмите от СП. </t>
  </si>
  <si>
    <t>Самооценката на анкетираните български граждани на възраст над 15 години се отчита чрез национално представително социологическо проучване, проведено през 2024 и 2029 г.
Изследването се провежда най-малко два пъти по време на програмния период, следвайки единна методология, която позволява сравнимост на данните.
Въз основа на исторически данни от програмния период 2014-2020 г. е направено предположение за поддържане на нивото на информираност, което е високо в сравнение с останалите държави-членки на ЕС.</t>
  </si>
  <si>
    <t xml:space="preserve">1. Организиране на информационни събития, подготовка и разпространение на информационни материали, поддържане на Единния информационен портал www.eufunds.bg и Информационната система за управление и наблюдение (ИСУН), профили в социалните мрежи и всички действия за повишаване на осведомеността за фондовете на РОР сред широката общественост.
</t>
  </si>
  <si>
    <t xml:space="preserve">1. Създаване, разработване, популяризиране и поддържане на профили в социалните мрежи, за да се гарантира наличността на информацията относно европейските фондове.
</t>
  </si>
  <si>
    <t xml:space="preserve">1. Разработване, надграждане, поддръжка и своевременно актуализиране на Единния информационен портал eufunds.bg. </t>
  </si>
  <si>
    <t>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t>
  </si>
  <si>
    <t>СЦ 1. Оптимизиране на средата за изпълнение на СП</t>
  </si>
  <si>
    <t>СЦ 4. Прозрачност, ефективна комуникация и популяризиране на подкрепата от фондовете и постигнатите резултати</t>
  </si>
  <si>
    <t>СЦ 3. Ангажиране на СИП и ОГО за добро управление на фондовете</t>
  </si>
  <si>
    <t>СЦ 2. Укрепване на капацитета на органите, бенефициентите и партньорите</t>
  </si>
  <si>
    <t>По-слабо развити</t>
  </si>
  <si>
    <t>(О1-4) Проверки и одити, извършвани от одитиращи и/или контролни органи</t>
  </si>
  <si>
    <t xml:space="preserve">(О1-5) Дял на процедурите за избор на изпълнител по реда на ЗОП, при които са спазени препоръките на АОП </t>
  </si>
  <si>
    <t>(О1-6) Единна информационна система за държавни помощи</t>
  </si>
  <si>
    <t>(О1-7) Нови функционалности на ИСУН</t>
  </si>
  <si>
    <t>(О1-8) Намалена административна тежест за кандидатите</t>
  </si>
  <si>
    <t>(О1-9) Намалена административна тежест за бенефициентите</t>
  </si>
  <si>
    <t>(О1-10) Служители на Системата, чиито възнаграждения се възстановяват</t>
  </si>
  <si>
    <t xml:space="preserve">(О1-6) </t>
  </si>
  <si>
    <t xml:space="preserve">(O1-8) </t>
  </si>
  <si>
    <t xml:space="preserve">(О1-10) </t>
  </si>
  <si>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Показателят се изчислява на 2 пъти годишно, към 30 юни и 31 декември, от УО.
Показателят се изчислява кумулативно.
</t>
  </si>
  <si>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Показателят се изчислява на 2 пъти годишно, към 30 юни и 31 декември, от УО.
Показателят се изчислява кумулативно.
</t>
  </si>
  <si>
    <t>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Показателят се изчислява на 2 пъти годишно, към 30 юни и 31 декември, от УО.
Показателят се изчислява кумулативно.</t>
  </si>
  <si>
    <t xml:space="preserve">Всеки бенефициент текущо предоставя на УО информация за броя на контролите или одитите, завършени с окончателен доклад.
Показателят се изчислява на 2 пъти годишно, към 30 юни и 31 декември, от УО.
Показателят се изчислява кумулативно.
</t>
  </si>
  <si>
    <t xml:space="preserve">АОП предоставя информация на шестмесечна база за процента на процедурите, при които са спазени препоръките от първия етап на предварителен контрол. Делът се формира като съотношение между броя на ОП по проекти по програмите от СП, при които са спазени препоръките от първия етап на предварителен контрол и броя на всички ОП по проекти по програмите от СП проверени на втори етап.
Източник на информация е модул „Контрол“ в ЦАИС ЕОП, който ще бъде надградена функционалността за филтриране на процедури, финансирани от фондовете на РОР. 
Междинната и целевата стойност са формирани на база данните за 2019 г. и 2020 г., според които 41% от проверените на втория етап ОП са без несъответствия, макар на първия етап да са имали. Целта е вследствие на оптимизираните процедури за предварителен контрол, този процент да се увеличи. 
</t>
  </si>
  <si>
    <t xml:space="preserve">Показателят се отчита на шестмесечна база от националното звено за държавни помощи за поддръжка и актуализация на Единната информационна система за държавни помощ и Центъра за държавни помощи относно средствата от фондовете на РОР.
Комплексното развитие на информационната система за наблюдение и координация на държавните помощи (по чл.51 от Закона за държавните помощи) с публичен модул Центърът за държавни помощи се отчита след електронизиране на процесите и осигуряване единен достъп до данни от всички налични регистри за държавни и минимални помощи, осигуряване на достъп за администраторите на помощ, автоматизиран обмен с други информационни регистри и системи. 
</t>
  </si>
  <si>
    <t>Бенефициентът, отговорен за разработването и подкрепата на ИСУН, предоставя текущо информация за разработени и внедрени функционалности.
Показателят се изчислява на 2 пъти годишно, към 30 юни и 31 декември, от УО.
Показателят се изчислява кумулативно.</t>
  </si>
  <si>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се умножи по 100%.
</t>
  </si>
  <si>
    <t>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Всеки бенефициент предоставя информация на УО на шестмесечна база за броя на служителите, чиито възнаграждения се възстановяват.
Броят на служителите, чиито възнаграждения се възстановяват по програмата за годината, се изчислява, като сборът от броя на служителите в края на всеки месец на шестмесечието се раздели на 6.
Междинната цел за 2024 г. и целевата стойност за 2029 г. се отнасят само до броя на служителите, чиито възнаграждения се възстановяват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t>
  </si>
  <si>
    <t xml:space="preserve">Всеки бенефициент текущо предоставя на УО информация и придружаващи доказателства за броя на новоразработените модули за обучение.
В допълнние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Показателят се изчислява на 2 пъти годишно, към 30 юни и 31 декември, от УО.
Показателят се изчислява кумулативно.
</t>
  </si>
  <si>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Отчита се броят на преминатите човеко-обучения. Ако един служител е преминал три обучения, стойността на индикатора е три.
Показателят се изчислява на 2 пъти годишно, към 30 юни и 31 декември, от УО.
Показателят се изчислява кумулативно.
</t>
  </si>
  <si>
    <t xml:space="preserve">Отчита се броят на подкрепените организации ОГО и СИП, като бенефициент или партньор в проект по ПТП.
Показателят се изчислява на 2 пъти годишно, към 30 юни и 31 декември, от УО.
Показателят се изчислява кумулативно.
</t>
  </si>
  <si>
    <t xml:space="preserve">Всеки бенефициент предоставя текуща информация за проведените информационни събития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в рамките на отчетния период.
Показателят се изчислява на 2 пъти годишно, към 30 юни и 31 декември, от УО.
Показателят се изчислява кумулативно.
</t>
  </si>
  <si>
    <t>(О4-2‭) ‬Уникални посещения на eufunds.bg</t>
  </si>
  <si>
    <t>Всеки бенефициент предоставя обобщена информация за броя на импресиите, постигнати в профилите в социалните медии, управлявани от него през отчетния период.
Показателят се изчислява на 2 пъти годишно, към 30 юни и 31 декември, от УО.
Показателят се изчислява кумулативно.</t>
  </si>
  <si>
    <t xml:space="preserve">Отчита се броят на подкрепените ОГО и общини, вкл.  чрез осигуряване на квалифицирана експертна подкрепа за общините.
Всеки бенефициент текущо предоставя на УО информация за броя на подкрепени ОГО и общини. 
Показателят се изчислява на 2 пъти годишно, към 30 юни и 31 декември, от УО.
Показателят се изчислява кумулативно.
</t>
  </si>
  <si>
    <t>Брой уникални посещения на eufunds.bg на годишна база, без натрупване.</t>
  </si>
  <si>
    <t>Бенефициентът, поддържащ информационния портал, предоставя на УО на шестмесечна база, към 30 юни и 31 декември, информация за броя уникални посещения на eufunds.bg през съответната година без да се натрупват стойностите от предходните години.
Целевата стойност се отнася за броя уникални посещения на eufunds.bg през 2029 г., който ще се отчете към 31 декември 2029.
Въз основа на исторически данни от програмния период 2014-2020 г. е направено предположение за поддържане на интереса към Информационния портал и поддържане на броя на уникалните посещения на годишна база за периода 2022-2029 г., тъй като има повишен интерес в началото на програмния период, който намалява в средата на периода.</t>
  </si>
  <si>
    <t xml:space="preserve">1. Набиране,‭ ‬обобщаване и/или анализ на данни на хоризонтално ниво за изпълнение на политиките, финансирани от фондовете на РОР;
2. Споделено събиране и използване на данни за оценка от звената/структурите в Системата;
3. Предоставяне на обобщени данни на заинтересованите УО-и за извършване на оценки на програмите от СП;
4.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5. Разработване на информационно и/или обучително съдържание на база изводите и препоръките от извършените оценки.
</t>
  </si>
  <si>
    <t xml:space="preserve">Създадена култура за оценки в Системата;
Оптимизиран процес по събиране, обобщаване и анализ на данни, необходими за оценки на политиките от СП;
Разпространени аналитични и оценителни доклади за Системата;
Оптимизирани административни процеси/ процедури в Системата в резултат на отправени препоръки от извършени оценки;
</t>
  </si>
  <si>
    <t xml:space="preserve">Надградена, внедрена и достъпна за администраторите на помощ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Системата електронизира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Системата осигурява единен достъп до данни от всички налични регистри за държавни и минимални помощи и автоматизиран обмен с други информационни регистри и системи.
</t>
  </si>
  <si>
    <t xml:space="preserve">1. Надграждане и внедряване на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2. Електронизиране на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3. Осигуряване на единен достъп до данни от всички налични регистри за държавни и минимални помощи и автоматизиран обмен с други информационни регистри и системи.
4. Профилиране на потенциалните потребители на Центъра за държавни помощи относно средствата от фондовете на РОР;
5. Публикуване на тематични насоки за специфични аспекти на режимите на помощ, приложими за проекти, финансирани от фонодвете на РОР, като допустими разходи, натрупване и източници на информация за проверки;
6. Осигуряване на заинтересованите страни с бърза, актуална и тематична информация, включително:
 - Бюлетин за изменения на българското и европейско законодателство в областта на режимите на помощ;
  - Отговори на ЕК на въпроси, зададени чрез системата eState Aid WIKI;
  - Съдебни решения;
7. Споделяне на опит - национални практики и практики на ЕС, ноу-хау, извлечени уроци, методи за избягване на грешки, препоръки за подходящи последващи мерки от УО-и;
8. Разработване на учебно съдържание въз основа на текущите предизвикателства заУО-и;
9. Насърчаване на обратната връзка между структурите за управление и контрол на фондовете по РОР и националното звено за държавни помощи за идентифициране на теми за предстоящ дебат/ изясняване.
</t>
  </si>
  <si>
    <t xml:space="preserve">Подобрени процеси по управление и контрол на средствата от фондовете на РОР;
Намалена административна тежест за УО-и, кандидати и бенефициенти;
По-добро използване на възможностите, предлагани от различните режими на помощ.
</t>
  </si>
  <si>
    <t xml:space="preserve">Функционалности за:
1. Подобряване на процесите по подготовка, изпълнение, мониторинг, контрол, управление на програми от СП; 
2. Събиране, структуриране, обработка и анализ на данни, необходими за целите на оценките на  програми от СП;
3. Интеграция с други сиситеми и регистри, в това число хоризнталните системи на електронното управление и с НГП и др.
</t>
  </si>
  <si>
    <t>Индикаторът измерва степента на намаляване 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за периода 2014-2020</t>
  </si>
  <si>
    <t>Индикаторът измерва степента намаляването на административната тежест за бенефициентите, като отчита средния брой изискуеми декларации за един отчет (2021-2027) спрямо средния брой необходими декларации за програмен период 2014-2020. Основната стойност на показателя е 100%, което се равнява средно на 6,56 деклации на отчет, изчислено въз основа на данните в ИСУН за програмите, финансирани от ЕСФ, ЕФРР, КФ, ЕФМДР и ФЕПНЛ за периода 2014-2020</t>
  </si>
  <si>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изискуеми документи за отчет по проекти по пограми през съответното календарно шестмесечие на 6,56, което е средният брой декларации на отчет през програмен период 2014-2020 г. и се умножи по 100%.
</t>
  </si>
  <si>
    <t>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Индикаторът отчита броя на успешно преминатите човеко-обучения с поне 75% верни отговори на финалния тест.
Показателят се отчита от бенефициентите кумулативно два пъти годишно чрез предоставяне на УО на информация за общия брой на участниците в обучение на хоризонтална тема, постигали поне 75% верни отговори на финалния тест. 
УО изчислява дела като съотношение между сбора на бройките, отчетени от бенефициентите и общият брой на обучените в съответните обучения на хоризонтална тема. ДА СЕ ИЗМИСЛИ НАЧИН ЗА МЕТАДАННИТЕ КАК ОТ О2-2 ДА СЕ ИЗВАДЯТ ОБУЧЕНИТЕ ПО ХОРИЗОНТАЛНИ ТЕМИ!!!
Показателят се изчислява кумулативно.</t>
  </si>
  <si>
    <t>(О2-4) ОГО и общини с повишен капацитет</t>
  </si>
  <si>
    <t xml:space="preserve">(О4-4) Ниво на информираност за програмите от СП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</si>
</sst>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л_в_._-;\-* #,##0.00\ _л_в_._-;_-* &quot;-&quot;??\ _л_в_._-;_-@_-"/>
    <numFmt numFmtId="165" formatCode="_(* #,##0.00_);_(* \(#,##0.00\);_(* &quot;-&quot;??_);_(@_)"/>
    <numFmt numFmtId="166" formatCode="_([$€-2]\ * #,##0.00_);_([$€-2]\ * \(#,##0.00\);_([$€-2]\ * &quot;-&quot;??_);_(@_)"/>
    <numFmt numFmtId="167" formatCode="0.000%"/>
    <numFmt numFmtId="168" formatCode="_-* #,##0\ _л_в_._-;\-* #,##0\ _л_в_._-;_-* &quot;-&quot;??\ _л_в_._-;_-@_-"/>
    <numFmt numFmtId="169" formatCode="#,##0.0"/>
    <numFmt numFmtId="170" formatCode="0.000000%"/>
    <numFmt numFmtId="171" formatCode="#,##0.00000"/>
    <numFmt numFmtId="172" formatCode="#,##0.000000"/>
  </numFmts>
  <fonts count="57" x14ac:knownFonts="1">
    <font>
      <sz val="11"/>
      <color theme="1"/>
      <name val="Calibri"/>
      <family val="2"/>
      <charset val="204"/>
      <scheme val="minor"/>
    </font>
    <font>
      <sz val="9"/>
      <color theme="1"/>
      <name val="Times New Roman"/>
      <family val="1"/>
      <charset val="204"/>
    </font>
    <font>
      <sz val="11"/>
      <color theme="1"/>
      <name val="Times New Roman"/>
      <family val="1"/>
      <charset val="204"/>
    </font>
    <font>
      <b/>
      <sz val="9"/>
      <color theme="1"/>
      <name val="Times New Roman"/>
      <family val="1"/>
      <charset val="204"/>
    </font>
    <font>
      <b/>
      <sz val="9"/>
      <color rgb="FF000000"/>
      <name val="Times New Roman"/>
      <family val="1"/>
      <charset val="204"/>
    </font>
    <font>
      <sz val="11"/>
      <color theme="1"/>
      <name val="Calibri"/>
      <family val="2"/>
      <charset val="204"/>
      <scheme val="minor"/>
    </font>
    <font>
      <b/>
      <sz val="11"/>
      <color theme="1"/>
      <name val="Calibri"/>
      <family val="2"/>
      <charset val="204"/>
      <scheme val="minor"/>
    </font>
    <font>
      <b/>
      <sz val="12"/>
      <color theme="1"/>
      <name val="Candara"/>
      <family val="2"/>
      <charset val="204"/>
    </font>
    <font>
      <sz val="12"/>
      <color theme="1"/>
      <name val="Candara"/>
      <family val="2"/>
      <charset val="204"/>
    </font>
    <font>
      <sz val="11"/>
      <color theme="1"/>
      <name val="Calibri"/>
      <family val="2"/>
      <scheme val="minor"/>
    </font>
    <font>
      <b/>
      <sz val="10"/>
      <color rgb="FF000000"/>
      <name val="Tahoma"/>
      <family val="2"/>
      <charset val="204"/>
    </font>
    <font>
      <sz val="10"/>
      <color theme="1"/>
      <name val="Candara"/>
      <family val="2"/>
      <charset val="204"/>
    </font>
    <font>
      <sz val="11"/>
      <color rgb="FF002060"/>
      <name val="Times New Roman"/>
      <family val="1"/>
      <charset val="204"/>
    </font>
    <font>
      <sz val="11"/>
      <color rgb="FF002060"/>
      <name val="Calibri"/>
      <family val="2"/>
      <charset val="204"/>
      <scheme val="minor"/>
    </font>
    <font>
      <b/>
      <sz val="11"/>
      <color theme="9"/>
      <name val="Times New Roman"/>
      <family val="1"/>
      <charset val="204"/>
    </font>
    <font>
      <b/>
      <sz val="11"/>
      <color theme="9"/>
      <name val="Calibri"/>
      <family val="2"/>
      <charset val="204"/>
      <scheme val="minor"/>
    </font>
    <font>
      <b/>
      <i/>
      <sz val="9"/>
      <color theme="1"/>
      <name val="Times New Roman"/>
      <family val="1"/>
      <charset val="204"/>
    </font>
    <font>
      <b/>
      <sz val="13"/>
      <color rgb="FF000000"/>
      <name val="Times New Roman"/>
      <family val="1"/>
      <charset val="204"/>
    </font>
    <font>
      <b/>
      <sz val="12"/>
      <color rgb="FF000000"/>
      <name val="Times New Roman"/>
      <family val="1"/>
      <charset val="204"/>
    </font>
    <font>
      <sz val="9"/>
      <name val="Times New Roman"/>
      <family val="1"/>
      <charset val="204"/>
    </font>
    <font>
      <sz val="11"/>
      <name val="Times New Roman"/>
      <family val="1"/>
      <charset val="204"/>
    </font>
    <font>
      <b/>
      <sz val="11"/>
      <color theme="1"/>
      <name val="Times New Roman"/>
      <family val="1"/>
      <charset val="204"/>
    </font>
    <font>
      <sz val="9"/>
      <color theme="1"/>
      <name val="Calibri"/>
      <family val="2"/>
      <scheme val="minor"/>
    </font>
    <font>
      <sz val="11"/>
      <name val="Calibri"/>
      <family val="2"/>
      <scheme val="minor"/>
    </font>
    <font>
      <i/>
      <sz val="9"/>
      <color theme="1"/>
      <name val="Times New Roman"/>
      <family val="1"/>
      <charset val="204"/>
    </font>
    <font>
      <sz val="9"/>
      <color rgb="FFFF0000"/>
      <name val="Times New Roman"/>
      <family val="1"/>
      <charset val="204"/>
    </font>
    <font>
      <i/>
      <sz val="9"/>
      <name val="Times New Roman"/>
      <family val="1"/>
      <charset val="204"/>
    </font>
    <font>
      <b/>
      <sz val="10"/>
      <color rgb="FFFF0000"/>
      <name val="Times New Roman"/>
      <family val="1"/>
      <charset val="204"/>
    </font>
    <font>
      <sz val="12"/>
      <color theme="1"/>
      <name val="Times New Roman"/>
      <family val="1"/>
      <charset val="204"/>
    </font>
    <font>
      <b/>
      <sz val="11"/>
      <color rgb="FF000000"/>
      <name val="Times New Roman"/>
      <family val="1"/>
      <charset val="204"/>
    </font>
    <font>
      <sz val="11"/>
      <color rgb="FF000000"/>
      <name val="Times New Roman"/>
      <family val="1"/>
      <charset val="204"/>
    </font>
    <font>
      <b/>
      <sz val="11"/>
      <color theme="9" tint="-0.249977111117893"/>
      <name val="Times New Roman"/>
      <family val="1"/>
      <charset val="204"/>
    </font>
    <font>
      <sz val="11"/>
      <color theme="9" tint="-0.249977111117893"/>
      <name val="Times New Roman"/>
      <family val="1"/>
      <charset val="204"/>
    </font>
    <font>
      <b/>
      <sz val="8"/>
      <color theme="1"/>
      <name val="Times New Roman"/>
      <family val="1"/>
      <charset val="204"/>
    </font>
    <font>
      <sz val="11.5"/>
      <color theme="1"/>
      <name val="Times New Roman"/>
      <family val="1"/>
      <charset val="204"/>
    </font>
    <font>
      <sz val="10"/>
      <color rgb="FF000000"/>
      <name val="Times New Roman"/>
      <family val="1"/>
      <charset val="204"/>
    </font>
    <font>
      <b/>
      <sz val="10"/>
      <color rgb="FF000000"/>
      <name val="Times New Roman"/>
      <family val="1"/>
      <charset val="204"/>
    </font>
    <font>
      <i/>
      <sz val="8"/>
      <color rgb="FF000000"/>
      <name val="Times New Roman"/>
      <family val="1"/>
      <charset val="204"/>
    </font>
    <font>
      <sz val="15"/>
      <color theme="1"/>
      <name val="Times New Roman"/>
      <family val="1"/>
      <charset val="204"/>
    </font>
    <font>
      <i/>
      <sz val="11"/>
      <color rgb="FF000000"/>
      <name val="Times New Roman"/>
      <family val="1"/>
      <charset val="204"/>
    </font>
    <font>
      <b/>
      <sz val="8"/>
      <name val="Times New Roman"/>
      <family val="1"/>
      <charset val="204"/>
    </font>
    <font>
      <b/>
      <sz val="11"/>
      <name val="Times New Roman"/>
      <family val="1"/>
      <charset val="204"/>
    </font>
    <font>
      <b/>
      <sz val="12"/>
      <name val="Times New Roman"/>
      <family val="1"/>
      <charset val="204"/>
    </font>
    <font>
      <sz val="11"/>
      <color theme="0"/>
      <name val="Calibri"/>
      <family val="2"/>
      <charset val="204"/>
      <scheme val="minor"/>
    </font>
    <font>
      <sz val="11"/>
      <color theme="0"/>
      <name val="Times New Roman"/>
      <family val="1"/>
      <charset val="204"/>
    </font>
    <font>
      <b/>
      <sz val="11"/>
      <color theme="0"/>
      <name val="Times New Roman"/>
      <family val="1"/>
      <charset val="204"/>
    </font>
    <font>
      <b/>
      <sz val="8"/>
      <color theme="0"/>
      <name val="Times New Roman"/>
      <family val="1"/>
      <charset val="204"/>
    </font>
    <font>
      <b/>
      <sz val="9"/>
      <color theme="0"/>
      <name val="Times New Roman"/>
      <family val="1"/>
      <charset val="204"/>
    </font>
    <font>
      <sz val="9"/>
      <color theme="0"/>
      <name val="Times New Roman"/>
      <family val="1"/>
      <charset val="204"/>
    </font>
    <font>
      <sz val="12"/>
      <color rgb="FF7030A0"/>
      <name val="Times New Roman"/>
      <family val="1"/>
      <charset val="204"/>
    </font>
    <font>
      <b/>
      <sz val="12"/>
      <color rgb="FF7030A0"/>
      <name val="Times New Roman"/>
      <family val="1"/>
      <charset val="204"/>
    </font>
    <font>
      <b/>
      <sz val="9"/>
      <color rgb="FFFF0000"/>
      <name val="Times New Roman"/>
      <family val="1"/>
      <charset val="204"/>
    </font>
    <font>
      <b/>
      <sz val="9"/>
      <name val="Times New Roman"/>
      <family val="1"/>
      <charset val="204"/>
    </font>
    <font>
      <b/>
      <sz val="9"/>
      <color rgb="FF7030A0"/>
      <name val="Times New Roman"/>
      <family val="1"/>
      <charset val="204"/>
    </font>
    <font>
      <sz val="9"/>
      <color rgb="FF7030A0"/>
      <name val="Times New Roman"/>
      <family val="1"/>
      <charset val="204"/>
    </font>
    <font>
      <b/>
      <sz val="9"/>
      <name val="Times New Roman"/>
      <family val="1"/>
      <charset val="204"/>
    </font>
    <font>
      <b/>
      <i/>
      <sz val="8"/>
      <name val="Times New Roman"/>
      <family val="1"/>
      <charset val="204"/>
    </font>
  </fonts>
  <fills count="23">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0F0F0"/>
        <bgColor indexed="64"/>
      </patternFill>
    </fill>
    <fill>
      <patternFill patternType="solid">
        <fgColor rgb="FFEEF9FE"/>
      </patternFill>
    </fill>
    <fill>
      <patternFill patternType="solid">
        <fgColor rgb="FFFBFBFB"/>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
      <patternFill patternType="solid">
        <fgColor rgb="FFCCECFF"/>
        <bgColor indexed="64"/>
      </patternFill>
    </fill>
    <fill>
      <patternFill patternType="solid">
        <fgColor rgb="FFCCCC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BBBBBB"/>
      </left>
      <right style="medium">
        <color rgb="FFBBBBBB"/>
      </right>
      <top style="medium">
        <color rgb="FFBBBBBB"/>
      </top>
      <bottom style="medium">
        <color rgb="FFBBBBBB"/>
      </bottom>
      <diagonal/>
    </border>
    <border>
      <left style="thin">
        <color indexed="9"/>
      </left>
      <right style="thin">
        <color indexed="9"/>
      </right>
      <top style="thin">
        <color indexed="9"/>
      </top>
      <bottom style="thin">
        <color indexed="9"/>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indexed="64"/>
      </left>
      <right/>
      <top/>
      <bottom style="medium">
        <color rgb="FF000000"/>
      </bottom>
      <diagonal/>
    </border>
    <border>
      <left/>
      <right style="medium">
        <color rgb="FF000000"/>
      </right>
      <top/>
      <bottom style="medium">
        <color rgb="FF000000"/>
      </bottom>
      <diagonal/>
    </border>
    <border>
      <left/>
      <right style="medium">
        <color rgb="FF000000"/>
      </right>
      <top style="medium">
        <color indexed="64"/>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top/>
      <bottom/>
      <diagonal/>
    </border>
  </borders>
  <cellStyleXfs count="12">
    <xf numFmtId="0" fontId="0" fillId="0" borderId="0"/>
    <xf numFmtId="164" fontId="5" fillId="0" borderId="0" applyFont="0" applyFill="0" applyBorder="0" applyAlignment="0" applyProtection="0"/>
    <xf numFmtId="0" fontId="5" fillId="0" borderId="0"/>
    <xf numFmtId="9" fontId="9"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0" fontId="9" fillId="0" borderId="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0" fontId="5" fillId="0" borderId="0"/>
  </cellStyleXfs>
  <cellXfs count="460">
    <xf numFmtId="0" fontId="0" fillId="0" borderId="0" xfId="0"/>
    <xf numFmtId="0" fontId="3" fillId="2" borderId="1" xfId="0" applyFont="1" applyFill="1" applyBorder="1" applyAlignment="1">
      <alignment horizontal="center" vertical="top" wrapText="1"/>
    </xf>
    <xf numFmtId="0" fontId="1" fillId="0" borderId="0" xfId="0" applyFont="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vertical="top"/>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0" fontId="3" fillId="2" borderId="2" xfId="0" applyFont="1" applyFill="1" applyBorder="1" applyAlignment="1">
      <alignment horizontal="center" vertical="top" wrapText="1"/>
    </xf>
    <xf numFmtId="0" fontId="1" fillId="0" borderId="5" xfId="0" applyFont="1" applyBorder="1" applyAlignment="1">
      <alignment horizontal="left" vertical="top" wrapText="1"/>
    </xf>
    <xf numFmtId="0" fontId="1" fillId="0" borderId="6" xfId="0" applyFont="1" applyBorder="1" applyAlignment="1">
      <alignment vertical="top" wrapText="1"/>
    </xf>
    <xf numFmtId="0" fontId="1" fillId="0" borderId="7" xfId="0" applyFont="1" applyBorder="1" applyAlignment="1">
      <alignment horizontal="left" vertical="top" wrapText="1"/>
    </xf>
    <xf numFmtId="0" fontId="1" fillId="0" borderId="8" xfId="0" applyFont="1" applyBorder="1" applyAlignment="1">
      <alignmen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Border="1" applyAlignment="1">
      <alignment horizontal="left" vertical="top" wrapText="1"/>
    </xf>
    <xf numFmtId="0" fontId="3" fillId="0" borderId="4" xfId="0" applyFont="1" applyBorder="1" applyAlignment="1">
      <alignment horizontal="left" vertical="top" wrapText="1"/>
    </xf>
    <xf numFmtId="0" fontId="1" fillId="0" borderId="9" xfId="0" applyFont="1" applyBorder="1" applyAlignment="1">
      <alignment horizontal="left" vertical="top" wrapText="1"/>
    </xf>
    <xf numFmtId="0" fontId="3" fillId="0" borderId="7" xfId="0" applyFont="1" applyBorder="1" applyAlignment="1">
      <alignment horizontal="left" vertical="top" wrapText="1"/>
    </xf>
    <xf numFmtId="0" fontId="1" fillId="0" borderId="12" xfId="0" applyFont="1" applyBorder="1" applyAlignment="1">
      <alignment horizontal="left" vertical="top" wrapText="1"/>
    </xf>
    <xf numFmtId="3" fontId="3" fillId="2" borderId="2" xfId="0" applyNumberFormat="1" applyFont="1" applyFill="1" applyBorder="1" applyAlignment="1">
      <alignment horizontal="right" vertical="top" wrapText="1"/>
    </xf>
    <xf numFmtId="3" fontId="3" fillId="2" borderId="1" xfId="0" applyNumberFormat="1" applyFont="1" applyFill="1" applyBorder="1" applyAlignment="1">
      <alignment horizontal="right" vertical="top" wrapText="1"/>
    </xf>
    <xf numFmtId="3" fontId="3" fillId="0" borderId="3" xfId="0" applyNumberFormat="1" applyFont="1" applyBorder="1" applyAlignment="1">
      <alignment vertical="top" wrapText="1"/>
    </xf>
    <xf numFmtId="0" fontId="3" fillId="0" borderId="3" xfId="0" applyFont="1" applyBorder="1" applyAlignment="1">
      <alignment horizontal="left" vertical="top" wrapText="1"/>
    </xf>
    <xf numFmtId="3" fontId="3" fillId="0" borderId="2" xfId="0" applyNumberFormat="1" applyFont="1" applyBorder="1" applyAlignment="1">
      <alignment horizontal="right" vertical="top" wrapText="1"/>
    </xf>
    <xf numFmtId="3" fontId="3" fillId="0" borderId="4" xfId="0" applyNumberFormat="1" applyFont="1" applyBorder="1" applyAlignment="1">
      <alignment horizontal="right" vertical="top" wrapText="1"/>
    </xf>
    <xf numFmtId="3" fontId="3" fillId="0" borderId="1" xfId="0" applyNumberFormat="1" applyFont="1" applyBorder="1" applyAlignment="1">
      <alignment horizontal="right" vertical="top" wrapText="1"/>
    </xf>
    <xf numFmtId="3" fontId="3" fillId="0" borderId="9" xfId="0" applyNumberFormat="1" applyFont="1" applyBorder="1" applyAlignment="1">
      <alignment horizontal="right" vertical="top" wrapText="1"/>
    </xf>
    <xf numFmtId="3" fontId="3" fillId="0" borderId="6" xfId="0" applyNumberFormat="1" applyFont="1" applyBorder="1" applyAlignment="1">
      <alignment horizontal="right" vertical="top" wrapText="1"/>
    </xf>
    <xf numFmtId="3" fontId="3" fillId="0" borderId="12" xfId="0" applyNumberFormat="1" applyFont="1" applyBorder="1" applyAlignment="1">
      <alignment horizontal="right" vertical="top" wrapText="1"/>
    </xf>
    <xf numFmtId="3" fontId="3" fillId="0" borderId="0" xfId="0" applyNumberFormat="1" applyFont="1" applyAlignment="1">
      <alignment horizontal="right" vertical="top" wrapText="1"/>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vertical="top" wrapText="1"/>
    </xf>
    <xf numFmtId="0" fontId="3" fillId="0" borderId="6" xfId="0" applyFont="1" applyBorder="1" applyAlignment="1">
      <alignment horizontal="left" vertical="top" wrapText="1"/>
    </xf>
    <xf numFmtId="0" fontId="3" fillId="0" borderId="2" xfId="0" applyFont="1" applyBorder="1" applyAlignment="1">
      <alignment horizontal="right" vertical="top" wrapText="1"/>
    </xf>
    <xf numFmtId="3" fontId="1" fillId="0" borderId="4" xfId="0" applyNumberFormat="1" applyFont="1" applyBorder="1" applyAlignment="1">
      <alignment horizontal="left" vertical="top" wrapText="1"/>
    </xf>
    <xf numFmtId="0" fontId="8" fillId="0" borderId="0" xfId="2" applyFont="1"/>
    <xf numFmtId="0" fontId="7" fillId="5" borderId="16"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0" borderId="0" xfId="2" applyFont="1" applyAlignment="1">
      <alignment wrapText="1"/>
    </xf>
    <xf numFmtId="0" fontId="7" fillId="6" borderId="3" xfId="2" applyFont="1" applyFill="1" applyBorder="1" applyAlignment="1">
      <alignment horizontal="center" wrapText="1"/>
    </xf>
    <xf numFmtId="0" fontId="7" fillId="6" borderId="6" xfId="2" applyFont="1" applyFill="1" applyBorder="1" applyAlignment="1">
      <alignment horizontal="center" vertical="center" wrapText="1"/>
    </xf>
    <xf numFmtId="3" fontId="7" fillId="7" borderId="1" xfId="2" applyNumberFormat="1" applyFont="1" applyFill="1" applyBorder="1" applyAlignment="1">
      <alignment horizontal="center"/>
    </xf>
    <xf numFmtId="3" fontId="7" fillId="7" borderId="1" xfId="2" applyNumberFormat="1" applyFont="1" applyFill="1" applyBorder="1"/>
    <xf numFmtId="0" fontId="8" fillId="4" borderId="11" xfId="2" applyFont="1" applyFill="1" applyBorder="1" applyAlignment="1">
      <alignment vertical="center"/>
    </xf>
    <xf numFmtId="3" fontId="8" fillId="4" borderId="1" xfId="2" applyNumberFormat="1" applyFont="1" applyFill="1" applyBorder="1" applyAlignment="1">
      <alignment horizontal="right" vertical="center" wrapText="1"/>
    </xf>
    <xf numFmtId="0" fontId="8" fillId="4" borderId="1" xfId="2" applyFont="1" applyFill="1" applyBorder="1" applyAlignment="1">
      <alignment horizontal="left" vertical="center" wrapText="1"/>
    </xf>
    <xf numFmtId="9" fontId="8" fillId="0" borderId="0" xfId="3" applyFont="1"/>
    <xf numFmtId="0" fontId="7" fillId="8" borderId="0" xfId="2" applyFont="1" applyFill="1" applyBorder="1" applyAlignment="1">
      <alignment vertical="center" wrapText="1"/>
    </xf>
    <xf numFmtId="0" fontId="8" fillId="0" borderId="0" xfId="2" applyFont="1" applyBorder="1"/>
    <xf numFmtId="0" fontId="8" fillId="4" borderId="11" xfId="2" applyFont="1" applyFill="1" applyBorder="1" applyAlignment="1">
      <alignment vertical="center" wrapText="1"/>
    </xf>
    <xf numFmtId="0" fontId="8" fillId="4" borderId="1" xfId="2" applyFont="1" applyFill="1" applyBorder="1"/>
    <xf numFmtId="0" fontId="8" fillId="4" borderId="0" xfId="2" applyFont="1" applyFill="1"/>
    <xf numFmtId="3" fontId="8" fillId="4" borderId="2" xfId="2" applyNumberFormat="1" applyFont="1" applyFill="1" applyBorder="1" applyAlignment="1">
      <alignment horizontal="right" vertical="center"/>
    </xf>
    <xf numFmtId="0" fontId="8" fillId="4" borderId="2" xfId="2" applyFont="1" applyFill="1" applyBorder="1" applyAlignment="1">
      <alignment horizontal="left" vertical="center" wrapText="1"/>
    </xf>
    <xf numFmtId="0" fontId="7" fillId="7" borderId="1" xfId="2" applyFont="1" applyFill="1" applyBorder="1"/>
    <xf numFmtId="3" fontId="7" fillId="7" borderId="1" xfId="2" applyNumberFormat="1" applyFont="1" applyFill="1" applyBorder="1" applyAlignment="1">
      <alignment horizontal="right" vertical="center"/>
    </xf>
    <xf numFmtId="166" fontId="8" fillId="7" borderId="1" xfId="4" applyNumberFormat="1" applyFont="1" applyFill="1" applyBorder="1" applyAlignment="1">
      <alignment horizontal="left"/>
    </xf>
    <xf numFmtId="0" fontId="7" fillId="6" borderId="1" xfId="2" applyFont="1" applyFill="1" applyBorder="1" applyAlignment="1">
      <alignment horizontal="center" wrapText="1"/>
    </xf>
    <xf numFmtId="0" fontId="7" fillId="6" borderId="1" xfId="2" applyFont="1" applyFill="1" applyBorder="1" applyAlignment="1">
      <alignment horizontal="center" vertical="center" wrapText="1"/>
    </xf>
    <xf numFmtId="0" fontId="8" fillId="4" borderId="4" xfId="2" applyFont="1" applyFill="1" applyBorder="1" applyAlignment="1">
      <alignment wrapText="1"/>
    </xf>
    <xf numFmtId="3" fontId="8" fillId="4" borderId="4" xfId="2" applyNumberFormat="1" applyFont="1" applyFill="1" applyBorder="1" applyAlignment="1">
      <alignment horizontal="right"/>
    </xf>
    <xf numFmtId="9" fontId="7" fillId="7" borderId="1" xfId="3" applyFont="1" applyFill="1" applyBorder="1" applyAlignment="1">
      <alignment horizontal="center"/>
    </xf>
    <xf numFmtId="0" fontId="8" fillId="4" borderId="1" xfId="2" applyFont="1" applyFill="1" applyBorder="1" applyAlignment="1">
      <alignment wrapText="1"/>
    </xf>
    <xf numFmtId="3" fontId="8" fillId="4" borderId="1" xfId="2" applyNumberFormat="1" applyFont="1" applyFill="1" applyBorder="1" applyAlignment="1">
      <alignment horizontal="right"/>
    </xf>
    <xf numFmtId="166" fontId="8" fillId="7" borderId="1" xfId="4" applyNumberFormat="1" applyFont="1" applyFill="1" applyBorder="1" applyAlignment="1">
      <alignment horizontal="right"/>
    </xf>
    <xf numFmtId="9" fontId="8" fillId="0" borderId="0" xfId="3" applyNumberFormat="1" applyFont="1"/>
    <xf numFmtId="0" fontId="7" fillId="9" borderId="1" xfId="2" applyFont="1" applyFill="1" applyBorder="1"/>
    <xf numFmtId="3" fontId="7" fillId="9" borderId="1" xfId="2" applyNumberFormat="1" applyFont="1" applyFill="1" applyBorder="1" applyAlignment="1">
      <alignment horizontal="right"/>
    </xf>
    <xf numFmtId="167" fontId="7" fillId="7" borderId="1" xfId="3" applyNumberFormat="1" applyFont="1" applyFill="1" applyBorder="1" applyAlignment="1">
      <alignment horizontal="center"/>
    </xf>
    <xf numFmtId="165" fontId="8" fillId="0" borderId="0" xfId="5" applyFont="1"/>
    <xf numFmtId="3" fontId="3" fillId="0" borderId="1" xfId="0" applyNumberFormat="1" applyFont="1" applyBorder="1" applyAlignment="1">
      <alignmen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 fillId="0" borderId="10" xfId="0" applyFont="1" applyBorder="1" applyAlignment="1">
      <alignment vertical="top" wrapText="1"/>
    </xf>
    <xf numFmtId="3" fontId="3" fillId="0" borderId="2" xfId="0" applyNumberFormat="1" applyFont="1" applyBorder="1" applyAlignment="1">
      <alignment vertical="top" wrapText="1"/>
    </xf>
    <xf numFmtId="3" fontId="3" fillId="0" borderId="9" xfId="0" applyNumberFormat="1" applyFont="1" applyBorder="1" applyAlignment="1">
      <alignment vertical="top" wrapText="1"/>
    </xf>
    <xf numFmtId="0" fontId="3" fillId="0" borderId="6" xfId="0" applyFont="1" applyBorder="1" applyAlignment="1">
      <alignment vertical="top" wrapText="1"/>
    </xf>
    <xf numFmtId="164" fontId="3" fillId="0" borderId="4" xfId="1" applyFont="1" applyBorder="1" applyAlignment="1">
      <alignment horizontal="right" vertical="top" wrapText="1"/>
    </xf>
    <xf numFmtId="164" fontId="8" fillId="4" borderId="0" xfId="1" applyFont="1" applyFill="1"/>
    <xf numFmtId="3" fontId="1" fillId="0" borderId="0" xfId="0" applyNumberFormat="1" applyFont="1" applyAlignment="1">
      <alignment vertical="top" wrapText="1"/>
    </xf>
    <xf numFmtId="1" fontId="3" fillId="0" borderId="2" xfId="0" applyNumberFormat="1" applyFont="1" applyBorder="1" applyAlignment="1">
      <alignment vertical="top" wrapText="1"/>
    </xf>
    <xf numFmtId="3" fontId="3" fillId="0" borderId="0" xfId="0" applyNumberFormat="1" applyFont="1" applyAlignment="1">
      <alignment vertical="top" wrapText="1"/>
    </xf>
    <xf numFmtId="0" fontId="1" fillId="0" borderId="0" xfId="0" applyFont="1" applyAlignment="1">
      <alignment horizontal="right" vertical="top" wrapText="1"/>
    </xf>
    <xf numFmtId="0" fontId="1" fillId="0" borderId="22" xfId="0" applyFont="1" applyBorder="1" applyAlignment="1">
      <alignment horizontal="right" vertical="top" wrapText="1"/>
    </xf>
    <xf numFmtId="0" fontId="1" fillId="0" borderId="23" xfId="0" applyFont="1" applyBorder="1" applyAlignment="1">
      <alignment vertical="top" wrapText="1"/>
    </xf>
    <xf numFmtId="0" fontId="1" fillId="0" borderId="25" xfId="0" applyFont="1" applyBorder="1" applyAlignment="1">
      <alignment vertical="top" wrapText="1"/>
    </xf>
    <xf numFmtId="0" fontId="1" fillId="0" borderId="26" xfId="0" applyFont="1" applyBorder="1" applyAlignment="1">
      <alignment vertical="top" wrapText="1"/>
    </xf>
    <xf numFmtId="9" fontId="1" fillId="0" borderId="27" xfId="7" applyFont="1" applyBorder="1" applyAlignment="1">
      <alignment vertical="top" wrapText="1"/>
    </xf>
    <xf numFmtId="16" fontId="1" fillId="0" borderId="24" xfId="0" applyNumberFormat="1" applyFont="1" applyBorder="1" applyAlignment="1">
      <alignment horizontal="right" vertical="top" wrapText="1"/>
    </xf>
    <xf numFmtId="1" fontId="1" fillId="0" borderId="23" xfId="0" applyNumberFormat="1" applyFont="1" applyBorder="1" applyAlignment="1">
      <alignment vertical="top" wrapText="1"/>
    </xf>
    <xf numFmtId="1" fontId="1" fillId="0" borderId="28" xfId="0" applyNumberFormat="1" applyFont="1" applyBorder="1" applyAlignment="1">
      <alignment vertical="top" wrapText="1"/>
    </xf>
    <xf numFmtId="3" fontId="3" fillId="0" borderId="29" xfId="0" applyNumberFormat="1" applyFont="1" applyBorder="1" applyAlignment="1">
      <alignment horizontal="right" vertical="top" wrapText="1"/>
    </xf>
    <xf numFmtId="3" fontId="3" fillId="0" borderId="30" xfId="0" applyNumberFormat="1" applyFont="1" applyBorder="1" applyAlignment="1">
      <alignment horizontal="right" vertical="top" wrapText="1"/>
    </xf>
    <xf numFmtId="3" fontId="3" fillId="0" borderId="0" xfId="0" applyNumberFormat="1" applyFont="1" applyBorder="1" applyAlignment="1">
      <alignment horizontal="right" vertical="top" wrapText="1"/>
    </xf>
    <xf numFmtId="3" fontId="3" fillId="0" borderId="11" xfId="0" applyNumberFormat="1" applyFont="1" applyBorder="1" applyAlignment="1">
      <alignment horizontal="right" vertical="top" wrapText="1"/>
    </xf>
    <xf numFmtId="0" fontId="1" fillId="0" borderId="7" xfId="0" applyFont="1" applyBorder="1" applyAlignment="1">
      <alignment vertical="top" wrapText="1"/>
    </xf>
    <xf numFmtId="3" fontId="3" fillId="0" borderId="7" xfId="0" applyNumberFormat="1" applyFont="1" applyBorder="1" applyAlignment="1">
      <alignment vertical="top" wrapText="1"/>
    </xf>
    <xf numFmtId="0" fontId="3" fillId="0" borderId="10" xfId="0" applyFont="1" applyBorder="1" applyAlignment="1">
      <alignmen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3" fontId="1" fillId="0" borderId="0" xfId="0" applyNumberFormat="1" applyFont="1" applyBorder="1" applyAlignment="1">
      <alignment vertical="top" wrapText="1"/>
    </xf>
    <xf numFmtId="1" fontId="1" fillId="0" borderId="0" xfId="0" applyNumberFormat="1" applyFont="1" applyAlignment="1">
      <alignment vertical="top" wrapText="1"/>
    </xf>
    <xf numFmtId="0" fontId="1" fillId="0" borderId="22" xfId="0" applyFont="1" applyBorder="1" applyAlignment="1">
      <alignment vertical="top" wrapText="1"/>
    </xf>
    <xf numFmtId="3" fontId="1" fillId="8" borderId="0" xfId="0" applyNumberFormat="1" applyFont="1" applyFill="1" applyAlignment="1">
      <alignment wrapText="1"/>
    </xf>
    <xf numFmtId="9" fontId="1" fillId="8" borderId="0" xfId="7" applyFont="1" applyFill="1" applyAlignment="1">
      <alignment wrapText="1"/>
    </xf>
    <xf numFmtId="9" fontId="0" fillId="0" borderId="0" xfId="7" applyFont="1"/>
    <xf numFmtId="4" fontId="0" fillId="0" borderId="0" xfId="0" applyNumberFormat="1"/>
    <xf numFmtId="0" fontId="0" fillId="11" borderId="0" xfId="0" applyFill="1"/>
    <xf numFmtId="0" fontId="10" fillId="12" borderId="36" xfId="0" applyFont="1" applyFill="1" applyBorder="1" applyAlignment="1">
      <alignment horizontal="right" wrapText="1"/>
    </xf>
    <xf numFmtId="0" fontId="10" fillId="0" borderId="0" xfId="0" applyFont="1"/>
    <xf numFmtId="3" fontId="0" fillId="0" borderId="0" xfId="0" applyNumberFormat="1"/>
    <xf numFmtId="1" fontId="0" fillId="0" borderId="0" xfId="0" applyNumberFormat="1"/>
    <xf numFmtId="3" fontId="11" fillId="0"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69" fontId="11" fillId="0" borderId="1" xfId="0" applyNumberFormat="1" applyFont="1" applyBorder="1" applyAlignment="1">
      <alignment horizontal="center" vertical="center" wrapText="1"/>
    </xf>
    <xf numFmtId="3" fontId="6" fillId="0" borderId="0" xfId="0" applyNumberFormat="1" applyFont="1"/>
    <xf numFmtId="168" fontId="0" fillId="0" borderId="0" xfId="1" applyNumberFormat="1" applyFont="1"/>
    <xf numFmtId="10" fontId="0" fillId="0" borderId="0" xfId="7" applyNumberFormat="1" applyFont="1"/>
    <xf numFmtId="1" fontId="0" fillId="13" borderId="37" xfId="0" applyNumberFormat="1" applyFill="1" applyBorder="1" applyAlignment="1">
      <alignment horizontal="right"/>
    </xf>
    <xf numFmtId="1" fontId="0" fillId="14" borderId="37" xfId="0" applyNumberFormat="1" applyFill="1" applyBorder="1" applyAlignment="1">
      <alignment horizontal="right"/>
    </xf>
    <xf numFmtId="0" fontId="0" fillId="8" borderId="0" xfId="0" applyFill="1"/>
    <xf numFmtId="0" fontId="2" fillId="8" borderId="0" xfId="0" applyFont="1" applyFill="1"/>
    <xf numFmtId="168" fontId="2" fillId="8" borderId="0" xfId="0" applyNumberFormat="1" applyFont="1" applyFill="1"/>
    <xf numFmtId="3" fontId="6" fillId="8" borderId="0" xfId="0" applyNumberFormat="1" applyFont="1" applyFill="1" applyBorder="1"/>
    <xf numFmtId="0" fontId="0" fillId="8" borderId="0" xfId="0" applyFill="1" applyAlignment="1">
      <alignment horizontal="left" vertical="top" wrapText="1"/>
    </xf>
    <xf numFmtId="0" fontId="22" fillId="8" borderId="0" xfId="0" applyFont="1" applyFill="1" applyAlignment="1">
      <alignment horizontal="left" vertical="top" wrapText="1"/>
    </xf>
    <xf numFmtId="0" fontId="0" fillId="8" borderId="0" xfId="0" applyFont="1" applyFill="1"/>
    <xf numFmtId="3" fontId="0" fillId="8" borderId="0" xfId="0" applyNumberFormat="1" applyFill="1" applyAlignment="1">
      <alignment horizontal="right"/>
    </xf>
    <xf numFmtId="3" fontId="23" fillId="8" borderId="0" xfId="0" applyNumberFormat="1" applyFont="1" applyFill="1" applyAlignment="1">
      <alignment horizontal="right"/>
    </xf>
    <xf numFmtId="4" fontId="0" fillId="8" borderId="0" xfId="0" applyNumberFormat="1" applyFont="1" applyFill="1" applyBorder="1"/>
    <xf numFmtId="0" fontId="29" fillId="0" borderId="21"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3" xfId="0" applyFont="1" applyBorder="1" applyAlignment="1">
      <alignment horizontal="justify" vertical="center" wrapText="1"/>
    </xf>
    <xf numFmtId="4" fontId="30" fillId="0" borderId="19" xfId="0" applyNumberFormat="1" applyFont="1" applyBorder="1" applyAlignment="1">
      <alignment horizontal="right" vertical="center" wrapText="1"/>
    </xf>
    <xf numFmtId="4" fontId="30" fillId="0" borderId="19" xfId="0" applyNumberFormat="1" applyFont="1" applyBorder="1" applyAlignment="1">
      <alignment horizontal="center" vertical="center" wrapText="1"/>
    </xf>
    <xf numFmtId="10" fontId="30" fillId="0" borderId="19" xfId="0" applyNumberFormat="1" applyFont="1" applyBorder="1" applyAlignment="1">
      <alignment horizontal="center" vertical="center" wrapText="1"/>
    </xf>
    <xf numFmtId="0" fontId="0" fillId="8" borderId="0" xfId="0" applyFont="1" applyFill="1" applyBorder="1"/>
    <xf numFmtId="0" fontId="30" fillId="0" borderId="33" xfId="0" applyFont="1" applyFill="1" applyBorder="1" applyAlignment="1">
      <alignment horizontal="justify" vertical="center" wrapText="1"/>
    </xf>
    <xf numFmtId="0" fontId="30" fillId="0" borderId="19" xfId="0" applyFont="1" applyFill="1" applyBorder="1" applyAlignment="1">
      <alignment horizontal="left" vertical="center" wrapText="1"/>
    </xf>
    <xf numFmtId="0" fontId="30" fillId="0" borderId="19" xfId="0" applyFont="1" applyBorder="1" applyAlignment="1">
      <alignment horizontal="right" vertical="center" wrapText="1"/>
    </xf>
    <xf numFmtId="2" fontId="30" fillId="0" borderId="19" xfId="0" applyNumberFormat="1" applyFont="1" applyBorder="1" applyAlignment="1">
      <alignment horizontal="right" vertical="center" wrapText="1"/>
    </xf>
    <xf numFmtId="10" fontId="30" fillId="0" borderId="19" xfId="7" applyNumberFormat="1" applyFont="1" applyBorder="1" applyAlignment="1">
      <alignment horizontal="center" vertical="center" wrapText="1"/>
    </xf>
    <xf numFmtId="4" fontId="0" fillId="8" borderId="0" xfId="0" applyNumberFormat="1" applyFont="1" applyFill="1"/>
    <xf numFmtId="0" fontId="30" fillId="0" borderId="19" xfId="0" applyFont="1" applyFill="1" applyBorder="1" applyAlignment="1">
      <alignment horizontal="justify" vertical="center" wrapText="1"/>
    </xf>
    <xf numFmtId="4" fontId="29" fillId="0" borderId="19" xfId="0" applyNumberFormat="1" applyFont="1" applyBorder="1" applyAlignment="1">
      <alignment horizontal="center" vertical="center" wrapText="1"/>
    </xf>
    <xf numFmtId="170" fontId="29" fillId="0" borderId="19" xfId="7" applyNumberFormat="1" applyFont="1" applyBorder="1" applyAlignment="1">
      <alignment horizontal="center" vertical="center" wrapText="1"/>
    </xf>
    <xf numFmtId="3" fontId="2" fillId="8" borderId="0" xfId="0" applyNumberFormat="1" applyFont="1" applyFill="1" applyBorder="1" applyAlignment="1">
      <alignment horizontal="right" vertical="center" wrapText="1"/>
    </xf>
    <xf numFmtId="4" fontId="2" fillId="8" borderId="0" xfId="0" applyNumberFormat="1" applyFont="1" applyFill="1" applyBorder="1" applyAlignment="1">
      <alignment horizontal="right" vertical="center" wrapText="1"/>
    </xf>
    <xf numFmtId="3" fontId="0" fillId="8" borderId="0" xfId="0" applyNumberFormat="1" applyFont="1" applyFill="1" applyBorder="1" applyAlignment="1">
      <alignment vertical="top" wrapText="1"/>
    </xf>
    <xf numFmtId="3" fontId="0" fillId="8" borderId="0" xfId="0" applyNumberFormat="1" applyFont="1" applyFill="1" applyBorder="1"/>
    <xf numFmtId="3" fontId="30" fillId="8" borderId="0" xfId="0" applyNumberFormat="1" applyFont="1" applyFill="1" applyBorder="1" applyAlignment="1">
      <alignment horizontal="right" vertical="center" wrapText="1"/>
    </xf>
    <xf numFmtId="3" fontId="21" fillId="8" borderId="0" xfId="0" applyNumberFormat="1" applyFont="1" applyFill="1" applyBorder="1" applyAlignment="1">
      <alignment horizontal="center" vertical="center" wrapText="1"/>
    </xf>
    <xf numFmtId="3" fontId="31" fillId="8" borderId="0" xfId="0" applyNumberFormat="1" applyFont="1" applyFill="1" applyBorder="1" applyAlignment="1">
      <alignment wrapText="1"/>
    </xf>
    <xf numFmtId="3" fontId="32" fillId="8" borderId="0" xfId="0" applyNumberFormat="1" applyFont="1" applyFill="1" applyBorder="1" applyAlignment="1">
      <alignment vertical="center" wrapText="1"/>
    </xf>
    <xf numFmtId="3" fontId="21" fillId="8" borderId="0" xfId="0" applyNumberFormat="1" applyFont="1" applyFill="1" applyBorder="1" applyAlignment="1">
      <alignment horizontal="right" vertical="center" wrapText="1"/>
    </xf>
    <xf numFmtId="3" fontId="31" fillId="8" borderId="0" xfId="0" applyNumberFormat="1" applyFont="1" applyFill="1" applyBorder="1" applyAlignment="1">
      <alignment horizontal="center" vertical="top" wrapText="1"/>
    </xf>
    <xf numFmtId="3" fontId="31" fillId="8" borderId="0" xfId="0" applyNumberFormat="1" applyFont="1" applyFill="1" applyBorder="1" applyAlignment="1">
      <alignment horizontal="right" wrapText="1"/>
    </xf>
    <xf numFmtId="3" fontId="31" fillId="8" borderId="0" xfId="0" applyNumberFormat="1" applyFont="1" applyFill="1" applyBorder="1" applyAlignment="1">
      <alignment horizontal="right" vertical="top" wrapText="1"/>
    </xf>
    <xf numFmtId="3" fontId="19" fillId="15" borderId="1" xfId="0" applyNumberFormat="1" applyFont="1" applyFill="1" applyBorder="1" applyAlignment="1">
      <alignment horizontal="center" vertical="center" wrapText="1"/>
    </xf>
    <xf numFmtId="3" fontId="3" fillId="17" borderId="1" xfId="0" applyNumberFormat="1" applyFont="1" applyFill="1" applyBorder="1" applyAlignment="1">
      <alignment horizontal="center" vertical="center"/>
    </xf>
    <xf numFmtId="3" fontId="2" fillId="10" borderId="1" xfId="0" applyNumberFormat="1" applyFont="1" applyFill="1" applyBorder="1" applyAlignment="1">
      <alignment vertical="distributed"/>
    </xf>
    <xf numFmtId="3" fontId="20" fillId="10" borderId="1" xfId="0" applyNumberFormat="1" applyFont="1" applyFill="1" applyBorder="1" applyAlignment="1">
      <alignment vertical="distributed"/>
    </xf>
    <xf numFmtId="3" fontId="21" fillId="17" borderId="1" xfId="0" applyNumberFormat="1" applyFont="1" applyFill="1" applyBorder="1" applyAlignment="1">
      <alignment vertical="distributed"/>
    </xf>
    <xf numFmtId="3" fontId="2" fillId="10" borderId="1" xfId="0" applyNumberFormat="1" applyFont="1" applyFill="1" applyBorder="1" applyAlignment="1">
      <alignment vertical="distributed" wrapText="1"/>
    </xf>
    <xf numFmtId="3" fontId="1" fillId="10" borderId="1" xfId="0" applyNumberFormat="1" applyFont="1" applyFill="1" applyBorder="1" applyAlignment="1">
      <alignment vertical="distributed" wrapText="1"/>
    </xf>
    <xf numFmtId="0" fontId="34" fillId="10" borderId="1" xfId="0" applyFont="1" applyFill="1" applyBorder="1" applyAlignment="1">
      <alignment vertical="center" wrapText="1"/>
    </xf>
    <xf numFmtId="0" fontId="18" fillId="0" borderId="19" xfId="0" applyFont="1" applyBorder="1" applyAlignment="1">
      <alignment horizontal="justify" vertical="center" wrapText="1"/>
    </xf>
    <xf numFmtId="0" fontId="18" fillId="0" borderId="19" xfId="0" applyFont="1" applyBorder="1" applyAlignment="1">
      <alignment horizontal="center" vertical="center" wrapText="1"/>
    </xf>
    <xf numFmtId="0" fontId="18" fillId="0" borderId="19" xfId="0" applyNumberFormat="1" applyFont="1" applyFill="1" applyBorder="1" applyAlignment="1">
      <alignment horizontal="center" vertical="center" wrapText="1"/>
    </xf>
    <xf numFmtId="0" fontId="18" fillId="0" borderId="19" xfId="0" applyNumberFormat="1" applyFont="1" applyBorder="1" applyAlignment="1">
      <alignment horizontal="center" vertical="center" wrapText="1"/>
    </xf>
    <xf numFmtId="0" fontId="35" fillId="0" borderId="19" xfId="0" applyFont="1" applyBorder="1" applyAlignment="1">
      <alignment horizontal="left" vertical="center" wrapText="1"/>
    </xf>
    <xf numFmtId="0" fontId="29" fillId="0" borderId="48" xfId="0" applyFont="1" applyBorder="1" applyAlignment="1">
      <alignment horizontal="justify" vertical="center" wrapText="1"/>
    </xf>
    <xf numFmtId="0" fontId="29" fillId="0" borderId="15" xfId="0" applyFont="1" applyBorder="1" applyAlignment="1">
      <alignment horizontal="justify" vertical="center" wrapText="1"/>
    </xf>
    <xf numFmtId="0" fontId="29" fillId="0" borderId="15" xfId="0" applyFont="1" applyBorder="1" applyAlignment="1">
      <alignment horizontal="center" vertical="center" wrapText="1"/>
    </xf>
    <xf numFmtId="0" fontId="29" fillId="0" borderId="15" xfId="0" applyNumberFormat="1" applyFont="1" applyFill="1" applyBorder="1" applyAlignment="1">
      <alignment horizontal="center" vertical="center" wrapText="1"/>
    </xf>
    <xf numFmtId="0" fontId="29" fillId="0" borderId="15" xfId="0" applyNumberFormat="1" applyFont="1" applyBorder="1" applyAlignment="1">
      <alignment horizontal="center" vertical="center" wrapText="1"/>
    </xf>
    <xf numFmtId="0" fontId="29" fillId="0" borderId="49" xfId="0" applyNumberFormat="1" applyFont="1" applyBorder="1" applyAlignment="1">
      <alignment horizontal="center" vertical="center" wrapText="1"/>
    </xf>
    <xf numFmtId="0" fontId="29" fillId="0" borderId="15" xfId="0" applyNumberFormat="1" applyFont="1" applyBorder="1" applyAlignment="1" applyProtection="1">
      <alignment horizontal="center" vertical="center"/>
      <protection locked="0"/>
    </xf>
    <xf numFmtId="0" fontId="29" fillId="0" borderId="35" xfId="0" applyFont="1" applyBorder="1" applyAlignment="1">
      <alignment horizontal="justify" vertical="center" wrapText="1"/>
    </xf>
    <xf numFmtId="0" fontId="35" fillId="0" borderId="35" xfId="0" applyFont="1" applyBorder="1" applyAlignment="1">
      <alignment horizontal="justify" vertical="center" wrapText="1"/>
    </xf>
    <xf numFmtId="0" fontId="35" fillId="0" borderId="34" xfId="0" applyFont="1" applyBorder="1" applyAlignment="1">
      <alignment horizontal="justify" vertical="center" wrapText="1"/>
    </xf>
    <xf numFmtId="0" fontId="35" fillId="0" borderId="47" xfId="0" applyFont="1" applyBorder="1" applyAlignment="1">
      <alignment horizontal="justify" vertical="center" wrapText="1"/>
    </xf>
    <xf numFmtId="0" fontId="35" fillId="0" borderId="47" xfId="0" applyFont="1" applyBorder="1" applyAlignment="1">
      <alignment horizontal="left" vertical="center" wrapText="1"/>
    </xf>
    <xf numFmtId="0" fontId="36" fillId="19" borderId="33" xfId="0" applyFont="1" applyFill="1" applyBorder="1" applyAlignment="1">
      <alignment horizontal="justify" vertical="center" wrapText="1"/>
    </xf>
    <xf numFmtId="0" fontId="36" fillId="19" borderId="19" xfId="0" applyFont="1" applyFill="1" applyBorder="1" applyAlignment="1">
      <alignment horizontal="left" vertical="center" wrapText="1"/>
    </xf>
    <xf numFmtId="0" fontId="36" fillId="20" borderId="33" xfId="0" applyFont="1" applyFill="1" applyBorder="1" applyAlignment="1">
      <alignment horizontal="justify" vertical="center" wrapText="1"/>
    </xf>
    <xf numFmtId="0" fontId="36" fillId="20" borderId="19" xfId="0" applyFont="1" applyFill="1" applyBorder="1" applyAlignment="1">
      <alignment horizontal="justify" vertical="center" wrapText="1"/>
    </xf>
    <xf numFmtId="0" fontId="35" fillId="19" borderId="19" xfId="0" applyFont="1" applyFill="1" applyBorder="1" applyAlignment="1">
      <alignment horizontal="justify" vertical="center" wrapText="1"/>
    </xf>
    <xf numFmtId="0" fontId="1" fillId="8" borderId="0" xfId="0" applyFont="1" applyFill="1"/>
    <xf numFmtId="0" fontId="4" fillId="0" borderId="0" xfId="0" applyFont="1" applyBorder="1" applyAlignment="1">
      <alignment horizontal="center" vertical="center"/>
    </xf>
    <xf numFmtId="0" fontId="29" fillId="19" borderId="19" xfId="0" applyFont="1" applyFill="1" applyBorder="1" applyAlignment="1">
      <alignment horizontal="right" vertical="center" wrapText="1"/>
    </xf>
    <xf numFmtId="4" fontId="29" fillId="19" borderId="19" xfId="0" applyNumberFormat="1" applyFont="1" applyFill="1" applyBorder="1" applyAlignment="1">
      <alignment horizontal="right" vertical="center" wrapText="1"/>
    </xf>
    <xf numFmtId="0" fontId="30" fillId="19" borderId="19" xfId="0" applyFont="1" applyFill="1" applyBorder="1" applyAlignment="1">
      <alignment horizontal="right" vertical="center" wrapText="1"/>
    </xf>
    <xf numFmtId="0" fontId="29" fillId="20" borderId="19" xfId="0" applyFont="1" applyFill="1" applyBorder="1" applyAlignment="1">
      <alignment horizontal="right" vertical="center" wrapText="1"/>
    </xf>
    <xf numFmtId="4" fontId="29" fillId="20" borderId="19" xfId="0" applyNumberFormat="1" applyFont="1" applyFill="1" applyBorder="1" applyAlignment="1">
      <alignment horizontal="right" vertical="center" wrapText="1"/>
    </xf>
    <xf numFmtId="2" fontId="2" fillId="8" borderId="0" xfId="0" applyNumberFormat="1" applyFont="1" applyFill="1"/>
    <xf numFmtId="3" fontId="30" fillId="0" borderId="19" xfId="0" applyNumberFormat="1" applyFont="1" applyBorder="1" applyAlignment="1">
      <alignment horizontal="right" vertical="center" wrapText="1"/>
    </xf>
    <xf numFmtId="3" fontId="30" fillId="18" borderId="19" xfId="0" applyNumberFormat="1" applyFont="1" applyFill="1" applyBorder="1" applyAlignment="1">
      <alignment horizontal="right" vertical="center" wrapText="1"/>
    </xf>
    <xf numFmtId="3" fontId="29" fillId="19" borderId="19" xfId="0" applyNumberFormat="1" applyFont="1" applyFill="1" applyBorder="1" applyAlignment="1">
      <alignment horizontal="right" vertical="center" wrapText="1"/>
    </xf>
    <xf numFmtId="3" fontId="30" fillId="19" borderId="19" xfId="0" applyNumberFormat="1" applyFont="1" applyFill="1" applyBorder="1" applyAlignment="1">
      <alignment horizontal="right" vertical="center" wrapText="1"/>
    </xf>
    <xf numFmtId="4" fontId="30" fillId="19" borderId="19" xfId="0" applyNumberFormat="1" applyFont="1" applyFill="1" applyBorder="1" applyAlignment="1">
      <alignment horizontal="right" vertical="center" wrapText="1"/>
    </xf>
    <xf numFmtId="0" fontId="35" fillId="0" borderId="19" xfId="0" applyFont="1" applyBorder="1" applyAlignment="1">
      <alignment horizontal="justify" vertical="center" wrapText="1"/>
    </xf>
    <xf numFmtId="0" fontId="35" fillId="0" borderId="33" xfId="0" applyFont="1" applyBorder="1" applyAlignment="1">
      <alignment horizontal="center" vertical="center" wrapText="1"/>
    </xf>
    <xf numFmtId="0" fontId="37" fillId="0" borderId="19" xfId="0" applyFont="1" applyBorder="1" applyAlignment="1">
      <alignment horizontal="left" vertical="center" wrapText="1"/>
    </xf>
    <xf numFmtId="2" fontId="38" fillId="8" borderId="0" xfId="0" applyNumberFormat="1" applyFont="1" applyFill="1"/>
    <xf numFmtId="4" fontId="30" fillId="18" borderId="19" xfId="0" applyNumberFormat="1" applyFont="1" applyFill="1" applyBorder="1" applyAlignment="1">
      <alignment horizontal="right" vertical="center" wrapText="1"/>
    </xf>
    <xf numFmtId="0" fontId="39" fillId="0" borderId="19" xfId="0" applyFont="1" applyBorder="1" applyAlignment="1">
      <alignment horizontal="left" vertical="center" wrapText="1"/>
    </xf>
    <xf numFmtId="0" fontId="40" fillId="0" borderId="19" xfId="0" applyNumberFormat="1" applyFont="1" applyBorder="1" applyAlignment="1">
      <alignment horizontal="center" vertical="center" wrapText="1"/>
    </xf>
    <xf numFmtId="4" fontId="28" fillId="8" borderId="0" xfId="0" applyNumberFormat="1" applyFont="1" applyFill="1" applyAlignment="1"/>
    <xf numFmtId="3" fontId="28" fillId="8" borderId="0" xfId="0" applyNumberFormat="1" applyFont="1" applyFill="1" applyAlignment="1"/>
    <xf numFmtId="4" fontId="28" fillId="8" borderId="0" xfId="0" applyNumberFormat="1" applyFont="1" applyFill="1"/>
    <xf numFmtId="16" fontId="28" fillId="8" borderId="0" xfId="0" applyNumberFormat="1" applyFont="1" applyFill="1"/>
    <xf numFmtId="0" fontId="28" fillId="8" borderId="0" xfId="0" applyFont="1" applyFill="1"/>
    <xf numFmtId="4" fontId="42" fillId="8" borderId="0" xfId="0" applyNumberFormat="1" applyFont="1" applyFill="1"/>
    <xf numFmtId="0" fontId="36" fillId="0" borderId="19" xfId="0" applyFont="1" applyBorder="1" applyAlignment="1">
      <alignment horizontal="center" vertical="center" wrapText="1"/>
    </xf>
    <xf numFmtId="4" fontId="30" fillId="8" borderId="19" xfId="0" applyNumberFormat="1" applyFont="1" applyFill="1" applyBorder="1" applyAlignment="1">
      <alignment horizontal="right" vertical="center" wrapText="1"/>
    </xf>
    <xf numFmtId="171" fontId="6" fillId="8" borderId="0" xfId="0" applyNumberFormat="1" applyFont="1" applyFill="1" applyBorder="1"/>
    <xf numFmtId="172" fontId="0" fillId="8" borderId="0" xfId="0" applyNumberFormat="1" applyFont="1" applyFill="1"/>
    <xf numFmtId="4" fontId="41" fillId="18" borderId="19" xfId="0" applyNumberFormat="1" applyFont="1" applyFill="1" applyBorder="1" applyAlignment="1">
      <alignment horizontal="right" vertical="center" wrapText="1"/>
    </xf>
    <xf numFmtId="0" fontId="44" fillId="8" borderId="0" xfId="0" applyFont="1" applyFill="1" applyBorder="1"/>
    <xf numFmtId="3" fontId="44" fillId="8" borderId="0" xfId="0" applyNumberFormat="1" applyFont="1" applyFill="1" applyBorder="1" applyAlignment="1">
      <alignment vertical="center" wrapText="1"/>
    </xf>
    <xf numFmtId="3" fontId="44" fillId="8" borderId="0" xfId="0" applyNumberFormat="1" applyFont="1" applyFill="1" applyBorder="1" applyAlignment="1"/>
    <xf numFmtId="3" fontId="44" fillId="8" borderId="0" xfId="0" applyNumberFormat="1" applyFont="1" applyFill="1" applyBorder="1" applyAlignment="1">
      <alignment horizontal="right" vertical="center" wrapText="1"/>
    </xf>
    <xf numFmtId="3" fontId="44" fillId="8" borderId="0" xfId="0" applyNumberFormat="1" applyFont="1" applyFill="1" applyBorder="1"/>
    <xf numFmtId="4" fontId="6" fillId="8" borderId="0" xfId="0" applyNumberFormat="1" applyFont="1" applyFill="1" applyBorder="1"/>
    <xf numFmtId="3" fontId="33" fillId="2" borderId="51" xfId="0" applyNumberFormat="1" applyFont="1" applyFill="1" applyBorder="1" applyAlignment="1">
      <alignment horizontal="center" vertical="center" wrapText="1"/>
    </xf>
    <xf numFmtId="0" fontId="24" fillId="2" borderId="53" xfId="0" applyFont="1" applyFill="1" applyBorder="1" applyAlignment="1">
      <alignment horizontal="center" vertical="top" wrapText="1"/>
    </xf>
    <xf numFmtId="3" fontId="19" fillId="16" borderId="53" xfId="0" applyNumberFormat="1" applyFont="1" applyFill="1" applyBorder="1" applyAlignment="1">
      <alignment vertical="top" wrapText="1"/>
    </xf>
    <xf numFmtId="3" fontId="3" fillId="2" borderId="53" xfId="0" applyNumberFormat="1" applyFont="1" applyFill="1" applyBorder="1" applyAlignment="1">
      <alignment horizontal="center" vertical="center" wrapText="1"/>
    </xf>
    <xf numFmtId="9" fontId="19" fillId="16" borderId="53" xfId="7" applyFont="1" applyFill="1" applyBorder="1" applyAlignment="1">
      <alignment vertical="top" wrapText="1"/>
    </xf>
    <xf numFmtId="9" fontId="19" fillId="16" borderId="53" xfId="0" applyNumberFormat="1" applyFont="1" applyFill="1" applyBorder="1" applyAlignment="1">
      <alignment vertical="top" wrapText="1"/>
    </xf>
    <xf numFmtId="0" fontId="19" fillId="16" borderId="53" xfId="0" applyFont="1" applyFill="1" applyBorder="1" applyAlignment="1">
      <alignment vertical="top" wrapText="1"/>
    </xf>
    <xf numFmtId="4" fontId="3" fillId="2" borderId="53" xfId="0" applyNumberFormat="1" applyFont="1" applyFill="1" applyBorder="1" applyAlignment="1">
      <alignment vertical="center" wrapText="1"/>
    </xf>
    <xf numFmtId="0" fontId="49" fillId="8" borderId="0" xfId="0" applyFont="1" applyFill="1" applyBorder="1"/>
    <xf numFmtId="4" fontId="49" fillId="8" borderId="0" xfId="0" applyNumberFormat="1" applyFont="1" applyFill="1"/>
    <xf numFmtId="3" fontId="50" fillId="8" borderId="0" xfId="0" applyNumberFormat="1" applyFont="1" applyFill="1" applyBorder="1" applyAlignment="1">
      <alignment horizontal="center" vertical="center" wrapText="1"/>
    </xf>
    <xf numFmtId="3" fontId="49" fillId="8" borderId="0" xfId="0" applyNumberFormat="1" applyFont="1" applyFill="1" applyBorder="1" applyAlignment="1">
      <alignment vertical="center" wrapText="1"/>
    </xf>
    <xf numFmtId="3" fontId="49" fillId="8" borderId="0" xfId="0" applyNumberFormat="1" applyFont="1" applyFill="1" applyBorder="1" applyAlignment="1">
      <alignment horizontal="right" vertical="center" wrapText="1"/>
    </xf>
    <xf numFmtId="3" fontId="50" fillId="8" borderId="0" xfId="0" applyNumberFormat="1" applyFont="1" applyFill="1" applyBorder="1" applyAlignment="1">
      <alignment vertical="top" wrapText="1"/>
    </xf>
    <xf numFmtId="0" fontId="29" fillId="0" borderId="21" xfId="0" applyFont="1" applyBorder="1" applyAlignment="1">
      <alignment horizontal="center" vertical="center" wrapText="1"/>
    </xf>
    <xf numFmtId="4" fontId="30" fillId="0" borderId="19" xfId="0" applyNumberFormat="1" applyFont="1" applyFill="1" applyBorder="1" applyAlignment="1">
      <alignment horizontal="center" vertical="center" wrapText="1"/>
    </xf>
    <xf numFmtId="0" fontId="30" fillId="0" borderId="19" xfId="0" applyFont="1" applyFill="1" applyBorder="1" applyAlignment="1">
      <alignment horizontal="center" vertical="center" wrapText="1"/>
    </xf>
    <xf numFmtId="4" fontId="30" fillId="21" borderId="19" xfId="0" applyNumberFormat="1" applyFont="1" applyFill="1" applyBorder="1" applyAlignment="1">
      <alignment horizontal="right" vertical="center" wrapText="1"/>
    </xf>
    <xf numFmtId="4" fontId="29" fillId="21" borderId="19" xfId="0" applyNumberFormat="1" applyFont="1" applyFill="1" applyBorder="1" applyAlignment="1">
      <alignment horizontal="right" vertical="center" wrapText="1"/>
    </xf>
    <xf numFmtId="0" fontId="2" fillId="8" borderId="0" xfId="0" applyFont="1" applyFill="1" applyAlignment="1">
      <alignment horizontal="center" vertical="center" wrapText="1"/>
    </xf>
    <xf numFmtId="4" fontId="30" fillId="21" borderId="1" xfId="0" applyNumberFormat="1" applyFont="1" applyFill="1" applyBorder="1" applyAlignment="1">
      <alignment horizontal="right" vertical="center" wrapText="1"/>
    </xf>
    <xf numFmtId="3" fontId="24" fillId="2" borderId="53" xfId="0" applyNumberFormat="1" applyFont="1" applyFill="1" applyBorder="1" applyAlignment="1">
      <alignment horizontal="center" vertical="top" wrapText="1"/>
    </xf>
    <xf numFmtId="3" fontId="3" fillId="2" borderId="53" xfId="7" applyNumberFormat="1" applyFont="1" applyFill="1" applyBorder="1" applyAlignment="1">
      <alignment horizontal="center" vertical="center" wrapText="1"/>
    </xf>
    <xf numFmtId="3" fontId="24" fillId="15" borderId="53" xfId="7" applyNumberFormat="1" applyFont="1" applyFill="1" applyBorder="1" applyAlignment="1">
      <alignment horizontal="right" vertical="top" wrapText="1"/>
    </xf>
    <xf numFmtId="3" fontId="16" fillId="15" borderId="53" xfId="7" applyNumberFormat="1" applyFont="1" applyFill="1" applyBorder="1" applyAlignment="1">
      <alignment horizontal="right" vertical="top" wrapText="1"/>
    </xf>
    <xf numFmtId="3" fontId="3" fillId="2" borderId="53" xfId="0" applyNumberFormat="1" applyFont="1" applyFill="1" applyBorder="1" applyAlignment="1">
      <alignment vertical="center" wrapText="1"/>
    </xf>
    <xf numFmtId="3" fontId="25" fillId="8" borderId="0" xfId="0" applyNumberFormat="1" applyFont="1" applyFill="1" applyAlignment="1">
      <alignment wrapText="1"/>
    </xf>
    <xf numFmtId="0" fontId="22" fillId="8" borderId="0" xfId="0" applyFont="1" applyFill="1" applyBorder="1" applyAlignment="1">
      <alignment horizontal="left" vertical="top" wrapText="1"/>
    </xf>
    <xf numFmtId="3" fontId="0" fillId="8" borderId="0" xfId="0" applyNumberFormat="1" applyFill="1" applyBorder="1" applyAlignment="1">
      <alignment horizontal="right"/>
    </xf>
    <xf numFmtId="3" fontId="23" fillId="8" borderId="0" xfId="0" applyNumberFormat="1" applyFont="1" applyFill="1" applyBorder="1" applyAlignment="1">
      <alignment horizontal="right"/>
    </xf>
    <xf numFmtId="4" fontId="30" fillId="0" borderId="19" xfId="0" applyNumberFormat="1" applyFont="1" applyFill="1" applyBorder="1" applyAlignment="1">
      <alignment horizontal="right" vertical="center" wrapText="1"/>
    </xf>
    <xf numFmtId="0" fontId="30" fillId="0" borderId="19" xfId="0" applyFont="1" applyFill="1" applyBorder="1" applyAlignment="1">
      <alignment horizontal="right" vertical="center" wrapText="1"/>
    </xf>
    <xf numFmtId="3" fontId="26" fillId="16" borderId="53" xfId="0" applyNumberFormat="1" applyFont="1" applyFill="1" applyBorder="1" applyAlignment="1">
      <alignment horizontal="left" vertical="top" wrapText="1"/>
    </xf>
    <xf numFmtId="3" fontId="19" fillId="16" borderId="53" xfId="7" applyNumberFormat="1" applyFont="1" applyFill="1" applyBorder="1" applyAlignment="1">
      <alignment horizontal="center" vertical="top" wrapText="1"/>
    </xf>
    <xf numFmtId="3" fontId="25" fillId="8" borderId="0" xfId="0" applyNumberFormat="1" applyFont="1" applyFill="1" applyAlignment="1">
      <alignment horizontal="center" wrapText="1"/>
    </xf>
    <xf numFmtId="3" fontId="26" fillId="16" borderId="53" xfId="0" applyNumberFormat="1" applyFont="1" applyFill="1" applyBorder="1" applyAlignment="1">
      <alignment vertical="top" wrapText="1"/>
    </xf>
    <xf numFmtId="3" fontId="24" fillId="8" borderId="0" xfId="0" applyNumberFormat="1" applyFont="1" applyFill="1" applyAlignment="1">
      <alignment wrapText="1"/>
    </xf>
    <xf numFmtId="0" fontId="26" fillId="2" borderId="53" xfId="0" applyFont="1" applyFill="1" applyBorder="1" applyAlignment="1">
      <alignment horizontal="center" vertical="top" wrapText="1"/>
    </xf>
    <xf numFmtId="3" fontId="26" fillId="2" borderId="53" xfId="0" applyNumberFormat="1" applyFont="1" applyFill="1" applyBorder="1" applyAlignment="1">
      <alignment horizontal="center" vertical="top" wrapText="1"/>
    </xf>
    <xf numFmtId="3" fontId="33" fillId="2" borderId="54" xfId="0" applyNumberFormat="1" applyFont="1" applyFill="1" applyBorder="1" applyAlignment="1">
      <alignment horizontal="center" vertical="center" wrapText="1"/>
    </xf>
    <xf numFmtId="0" fontId="24" fillId="2" borderId="55" xfId="0" applyFont="1" applyFill="1" applyBorder="1" applyAlignment="1">
      <alignment horizontal="center" vertical="top" wrapText="1"/>
    </xf>
    <xf numFmtId="9" fontId="3" fillId="2" borderId="55" xfId="0" applyNumberFormat="1" applyFont="1" applyFill="1" applyBorder="1" applyAlignment="1">
      <alignment horizontal="center" vertical="center" wrapText="1"/>
    </xf>
    <xf numFmtId="9" fontId="24" fillId="15" borderId="55" xfId="0" applyNumberFormat="1" applyFont="1" applyFill="1" applyBorder="1" applyAlignment="1">
      <alignment horizontal="right" vertical="top" wrapText="1"/>
    </xf>
    <xf numFmtId="9" fontId="51" fillId="2" borderId="55" xfId="0" applyNumberFormat="1" applyFont="1" applyFill="1" applyBorder="1" applyAlignment="1">
      <alignment horizontal="center" vertical="center" wrapText="1"/>
    </xf>
    <xf numFmtId="9" fontId="16" fillId="15" borderId="55" xfId="0" applyNumberFormat="1" applyFont="1" applyFill="1" applyBorder="1" applyAlignment="1">
      <alignment horizontal="right" vertical="top" wrapText="1"/>
    </xf>
    <xf numFmtId="9" fontId="53" fillId="2" borderId="55" xfId="0" applyNumberFormat="1" applyFont="1" applyFill="1" applyBorder="1" applyAlignment="1">
      <alignment horizontal="center" vertical="center" wrapText="1"/>
    </xf>
    <xf numFmtId="3" fontId="52" fillId="16" borderId="52" xfId="0" applyNumberFormat="1" applyFont="1" applyFill="1" applyBorder="1" applyAlignment="1">
      <alignment horizontal="left" vertical="top" wrapText="1"/>
    </xf>
    <xf numFmtId="4" fontId="3" fillId="2" borderId="55" xfId="7" applyNumberFormat="1" applyFont="1" applyFill="1" applyBorder="1" applyAlignment="1">
      <alignment horizontal="center" vertical="center" wrapText="1"/>
    </xf>
    <xf numFmtId="3" fontId="1" fillId="8" borderId="0" xfId="0" applyNumberFormat="1" applyFont="1" applyFill="1" applyBorder="1" applyAlignment="1">
      <alignment wrapText="1"/>
    </xf>
    <xf numFmtId="3" fontId="25" fillId="8" borderId="0" xfId="0" applyNumberFormat="1" applyFont="1" applyFill="1" applyBorder="1" applyAlignment="1">
      <alignment wrapText="1"/>
    </xf>
    <xf numFmtId="3" fontId="25" fillId="8" borderId="0" xfId="0" applyNumberFormat="1" applyFont="1" applyFill="1" applyBorder="1" applyAlignment="1">
      <alignment horizontal="center" wrapText="1"/>
    </xf>
    <xf numFmtId="9" fontId="1" fillId="8" borderId="0" xfId="7" applyFont="1" applyFill="1" applyBorder="1" applyAlignment="1">
      <alignment wrapText="1"/>
    </xf>
    <xf numFmtId="3" fontId="24" fillId="8" borderId="0" xfId="0" applyNumberFormat="1" applyFont="1" applyFill="1" applyBorder="1" applyAlignment="1">
      <alignment wrapText="1"/>
    </xf>
    <xf numFmtId="0" fontId="48" fillId="8" borderId="0" xfId="0" applyFont="1" applyFill="1" applyBorder="1" applyAlignment="1">
      <alignment vertical="top" wrapText="1"/>
    </xf>
    <xf numFmtId="3" fontId="19" fillId="16" borderId="57" xfId="0" applyNumberFormat="1" applyFont="1" applyFill="1" applyBorder="1" applyAlignment="1">
      <alignment vertical="top" wrapText="1"/>
    </xf>
    <xf numFmtId="9" fontId="19" fillId="16" borderId="57" xfId="0" applyNumberFormat="1" applyFont="1" applyFill="1" applyBorder="1" applyAlignment="1">
      <alignment vertical="top" wrapText="1"/>
    </xf>
    <xf numFmtId="3" fontId="3" fillId="2" borderId="57" xfId="7" applyNumberFormat="1" applyFont="1" applyFill="1" applyBorder="1" applyAlignment="1">
      <alignment horizontal="center" vertical="center" wrapText="1"/>
    </xf>
    <xf numFmtId="9" fontId="3" fillId="2" borderId="58" xfId="0" applyNumberFormat="1" applyFont="1" applyFill="1" applyBorder="1" applyAlignment="1">
      <alignment horizontal="center" vertical="center" wrapText="1"/>
    </xf>
    <xf numFmtId="3" fontId="24" fillId="15" borderId="1" xfId="7" applyNumberFormat="1" applyFont="1" applyFill="1" applyBorder="1" applyAlignment="1">
      <alignment horizontal="right" vertical="top" wrapText="1"/>
    </xf>
    <xf numFmtId="9" fontId="24" fillId="15" borderId="1" xfId="0" applyNumberFormat="1" applyFont="1" applyFill="1" applyBorder="1" applyAlignment="1">
      <alignment horizontal="right" vertical="top" wrapText="1"/>
    </xf>
    <xf numFmtId="3" fontId="3" fillId="0" borderId="1" xfId="11" applyNumberFormat="1" applyFont="1" applyBorder="1" applyAlignment="1">
      <alignment horizontal="justify" vertical="center" wrapText="1"/>
    </xf>
    <xf numFmtId="3" fontId="3" fillId="15" borderId="1" xfId="11" applyNumberFormat="1" applyFont="1" applyFill="1" applyBorder="1" applyAlignment="1">
      <alignment horizontal="center" vertical="center" wrapText="1"/>
    </xf>
    <xf numFmtId="3" fontId="1" fillId="8" borderId="1" xfId="11" applyNumberFormat="1" applyFont="1" applyFill="1" applyBorder="1" applyAlignment="1">
      <alignment wrapText="1"/>
    </xf>
    <xf numFmtId="4" fontId="1" fillId="8" borderId="1" xfId="11" applyNumberFormat="1" applyFont="1" applyFill="1" applyBorder="1" applyAlignment="1">
      <alignment wrapText="1"/>
    </xf>
    <xf numFmtId="3" fontId="1" fillId="8" borderId="1" xfId="11" applyNumberFormat="1" applyFont="1" applyFill="1" applyBorder="1" applyAlignment="1">
      <alignment vertical="top" wrapText="1"/>
    </xf>
    <xf numFmtId="4" fontId="1" fillId="8" borderId="1" xfId="11" applyNumberFormat="1" applyFont="1" applyFill="1" applyBorder="1" applyAlignment="1">
      <alignment vertical="top" wrapText="1"/>
    </xf>
    <xf numFmtId="3" fontId="3" fillId="8" borderId="1" xfId="11" applyNumberFormat="1" applyFont="1" applyFill="1" applyBorder="1" applyAlignment="1">
      <alignment wrapText="1"/>
    </xf>
    <xf numFmtId="4" fontId="3" fillId="8" borderId="1" xfId="11" applyNumberFormat="1" applyFont="1" applyFill="1" applyBorder="1" applyAlignment="1">
      <alignment wrapText="1"/>
    </xf>
    <xf numFmtId="3" fontId="1" fillId="8" borderId="0" xfId="11" applyNumberFormat="1" applyFont="1" applyFill="1" applyAlignment="1">
      <alignment wrapText="1"/>
    </xf>
    <xf numFmtId="4" fontId="1" fillId="8" borderId="0" xfId="11" applyNumberFormat="1" applyFont="1" applyFill="1" applyAlignment="1">
      <alignment wrapText="1"/>
    </xf>
    <xf numFmtId="3" fontId="19" fillId="16" borderId="53" xfId="0" applyNumberFormat="1" applyFont="1" applyFill="1" applyBorder="1" applyAlignment="1">
      <alignment horizontal="center" vertical="top" wrapText="1"/>
    </xf>
    <xf numFmtId="3" fontId="52" fillId="16" borderId="52" xfId="0" applyNumberFormat="1" applyFont="1" applyFill="1" applyBorder="1" applyAlignment="1">
      <alignment vertical="top" wrapText="1"/>
    </xf>
    <xf numFmtId="9" fontId="52" fillId="16" borderId="53" xfId="7" applyFont="1" applyFill="1" applyBorder="1" applyAlignment="1">
      <alignment vertical="top" wrapText="1"/>
    </xf>
    <xf numFmtId="3" fontId="19" fillId="15" borderId="53" xfId="0" applyNumberFormat="1" applyFont="1" applyFill="1" applyBorder="1" applyAlignment="1">
      <alignment horizontal="center" vertical="top" wrapText="1"/>
    </xf>
    <xf numFmtId="4" fontId="19" fillId="15" borderId="53" xfId="0" applyNumberFormat="1" applyFont="1" applyFill="1" applyBorder="1" applyAlignment="1">
      <alignment horizontal="center" vertical="top" wrapText="1"/>
    </xf>
    <xf numFmtId="3" fontId="19" fillId="15" borderId="1" xfId="0" applyNumberFormat="1" applyFont="1" applyFill="1" applyBorder="1" applyAlignment="1">
      <alignment horizontal="center" vertical="top" wrapText="1"/>
    </xf>
    <xf numFmtId="3" fontId="26" fillId="15" borderId="53" xfId="0" applyNumberFormat="1" applyFont="1" applyFill="1" applyBorder="1" applyAlignment="1">
      <alignment horizontal="left" vertical="top" wrapText="1"/>
    </xf>
    <xf numFmtId="3" fontId="26" fillId="15" borderId="1" xfId="0" applyNumberFormat="1" applyFont="1" applyFill="1" applyBorder="1" applyAlignment="1">
      <alignment horizontal="left" vertical="top" wrapText="1"/>
    </xf>
    <xf numFmtId="4" fontId="1" fillId="8" borderId="0" xfId="0" applyNumberFormat="1" applyFont="1" applyFill="1" applyBorder="1" applyAlignment="1">
      <alignment wrapText="1"/>
    </xf>
    <xf numFmtId="4" fontId="29" fillId="0" borderId="0" xfId="0" applyNumberFormat="1" applyFont="1" applyFill="1" applyAlignment="1">
      <alignment horizontal="center" vertical="center" wrapText="1"/>
    </xf>
    <xf numFmtId="4" fontId="1" fillId="8" borderId="1" xfId="0" applyNumberFormat="1" applyFont="1" applyFill="1" applyBorder="1" applyAlignment="1">
      <alignment wrapText="1"/>
    </xf>
    <xf numFmtId="3" fontId="3" fillId="8" borderId="0" xfId="0" applyNumberFormat="1" applyFont="1" applyFill="1" applyAlignment="1">
      <alignment wrapText="1"/>
    </xf>
    <xf numFmtId="0" fontId="48" fillId="0" borderId="0" xfId="0" applyNumberFormat="1" applyFont="1" applyBorder="1" applyAlignment="1">
      <alignment vertical="top"/>
    </xf>
    <xf numFmtId="3" fontId="1" fillId="0" borderId="0" xfId="0" applyNumberFormat="1" applyFont="1" applyFill="1" applyBorder="1" applyAlignment="1">
      <alignment wrapText="1"/>
    </xf>
    <xf numFmtId="3" fontId="25" fillId="0" borderId="0" xfId="0" applyNumberFormat="1" applyFont="1" applyFill="1" applyBorder="1" applyAlignment="1">
      <alignment wrapText="1"/>
    </xf>
    <xf numFmtId="3" fontId="25" fillId="0" borderId="0" xfId="0" applyNumberFormat="1" applyFont="1" applyFill="1" applyBorder="1" applyAlignment="1">
      <alignment horizontal="center" wrapText="1"/>
    </xf>
    <xf numFmtId="9" fontId="1" fillId="0" borderId="0" xfId="7" applyFont="1" applyFill="1" applyBorder="1" applyAlignment="1">
      <alignment wrapText="1"/>
    </xf>
    <xf numFmtId="3" fontId="24" fillId="0" borderId="0" xfId="0" applyNumberFormat="1" applyFont="1" applyFill="1" applyBorder="1" applyAlignment="1">
      <alignment wrapText="1"/>
    </xf>
    <xf numFmtId="3" fontId="28" fillId="8" borderId="0" xfId="0" applyNumberFormat="1" applyFont="1" applyFill="1" applyBorder="1" applyAlignment="1">
      <alignment horizontal="right" wrapText="1"/>
    </xf>
    <xf numFmtId="3" fontId="3" fillId="8" borderId="0" xfId="0" applyNumberFormat="1" applyFont="1" applyFill="1" applyBorder="1" applyAlignment="1">
      <alignment wrapText="1"/>
    </xf>
    <xf numFmtId="3" fontId="28" fillId="22" borderId="0" xfId="0" applyNumberFormat="1" applyFont="1" applyFill="1" applyBorder="1" applyAlignment="1">
      <alignment horizontal="left" wrapText="1"/>
    </xf>
    <xf numFmtId="10" fontId="1" fillId="8" borderId="0" xfId="0" applyNumberFormat="1" applyFont="1" applyFill="1" applyBorder="1" applyAlignment="1">
      <alignment vertical="center" wrapText="1"/>
    </xf>
    <xf numFmtId="10" fontId="1" fillId="8" borderId="0" xfId="0" applyNumberFormat="1" applyFont="1" applyFill="1" applyBorder="1" applyAlignment="1">
      <alignment wrapText="1"/>
    </xf>
    <xf numFmtId="4" fontId="55" fillId="2" borderId="53" xfId="7" applyNumberFormat="1" applyFont="1" applyFill="1" applyBorder="1" applyAlignment="1">
      <alignment vertical="center" wrapText="1"/>
    </xf>
    <xf numFmtId="4" fontId="24" fillId="15" borderId="53" xfId="0" applyNumberFormat="1" applyFont="1" applyFill="1" applyBorder="1" applyAlignment="1">
      <alignment vertical="top" wrapText="1"/>
    </xf>
    <xf numFmtId="4" fontId="24" fillId="15" borderId="53" xfId="7" applyNumberFormat="1" applyFont="1" applyFill="1" applyBorder="1" applyAlignment="1">
      <alignment vertical="top" wrapText="1"/>
    </xf>
    <xf numFmtId="4" fontId="16" fillId="15" borderId="53" xfId="0" applyNumberFormat="1" applyFont="1" applyFill="1" applyBorder="1" applyAlignment="1">
      <alignment vertical="top" wrapText="1"/>
    </xf>
    <xf numFmtId="4" fontId="3" fillId="2" borderId="53" xfId="7" applyNumberFormat="1" applyFont="1" applyFill="1" applyBorder="1" applyAlignment="1">
      <alignment vertical="center" wrapText="1"/>
    </xf>
    <xf numFmtId="4" fontId="3" fillId="2" borderId="57" xfId="7" applyNumberFormat="1" applyFont="1" applyFill="1" applyBorder="1" applyAlignment="1">
      <alignment vertical="center" wrapText="1"/>
    </xf>
    <xf numFmtId="4" fontId="3" fillId="2" borderId="57" xfId="0" applyNumberFormat="1" applyFont="1" applyFill="1" applyBorder="1" applyAlignment="1">
      <alignment vertical="center" wrapText="1"/>
    </xf>
    <xf numFmtId="4" fontId="24" fillId="15" borderId="1" xfId="7" applyNumberFormat="1" applyFont="1" applyFill="1" applyBorder="1" applyAlignment="1">
      <alignment vertical="top" wrapText="1"/>
    </xf>
    <xf numFmtId="4" fontId="24" fillId="15" borderId="1" xfId="0" applyNumberFormat="1" applyFont="1" applyFill="1" applyBorder="1" applyAlignment="1">
      <alignment vertical="top" wrapText="1"/>
    </xf>
    <xf numFmtId="3" fontId="40" fillId="2" borderId="50" xfId="0" applyNumberFormat="1" applyFont="1" applyFill="1" applyBorder="1" applyAlignment="1">
      <alignment horizontal="center" vertical="center" wrapText="1"/>
    </xf>
    <xf numFmtId="3" fontId="40" fillId="2" borderId="51" xfId="0" applyNumberFormat="1" applyFont="1" applyFill="1" applyBorder="1" applyAlignment="1">
      <alignment horizontal="center" vertical="center" wrapText="1"/>
    </xf>
    <xf numFmtId="3" fontId="56" fillId="2" borderId="51" xfId="0" applyNumberFormat="1" applyFont="1" applyFill="1" applyBorder="1" applyAlignment="1">
      <alignment horizontal="center" vertical="center" wrapText="1"/>
    </xf>
    <xf numFmtId="0" fontId="26" fillId="2" borderId="52" xfId="0" applyFont="1" applyFill="1" applyBorder="1" applyAlignment="1">
      <alignment horizontal="center" vertical="top" wrapText="1"/>
    </xf>
    <xf numFmtId="3" fontId="52" fillId="15" borderId="52" xfId="0" applyNumberFormat="1" applyFont="1" applyFill="1" applyBorder="1" applyAlignment="1">
      <alignment horizontal="left" vertical="top" wrapText="1"/>
    </xf>
    <xf numFmtId="3" fontId="19" fillId="15" borderId="53" xfId="0" applyNumberFormat="1" applyFont="1" applyFill="1" applyBorder="1" applyAlignment="1">
      <alignment vertical="top" wrapText="1"/>
    </xf>
    <xf numFmtId="3" fontId="26" fillId="15" borderId="53" xfId="0" applyNumberFormat="1" applyFont="1" applyFill="1" applyBorder="1" applyAlignment="1">
      <alignment vertical="top" wrapText="1"/>
    </xf>
    <xf numFmtId="3" fontId="52" fillId="15" borderId="53" xfId="0" applyNumberFormat="1" applyFont="1" applyFill="1" applyBorder="1" applyAlignment="1">
      <alignment horizontal="left" vertical="top" wrapText="1"/>
    </xf>
    <xf numFmtId="3" fontId="19" fillId="16" borderId="53" xfId="0" applyNumberFormat="1" applyFont="1" applyFill="1" applyBorder="1" applyAlignment="1">
      <alignment horizontal="left" vertical="top" wrapText="1"/>
    </xf>
    <xf numFmtId="3" fontId="26" fillId="15" borderId="53" xfId="0" applyNumberFormat="1" applyFont="1" applyFill="1" applyBorder="1" applyAlignment="1">
      <alignment horizontal="right" vertical="top" wrapText="1"/>
    </xf>
    <xf numFmtId="3" fontId="52" fillId="16" borderId="56" xfId="0" applyNumberFormat="1" applyFont="1" applyFill="1" applyBorder="1" applyAlignment="1">
      <alignment vertical="top" wrapText="1"/>
    </xf>
    <xf numFmtId="3" fontId="26" fillId="16" borderId="57" xfId="0" applyNumberFormat="1" applyFont="1" applyFill="1" applyBorder="1" applyAlignment="1">
      <alignment horizontal="left" vertical="top" wrapText="1"/>
    </xf>
    <xf numFmtId="3" fontId="19" fillId="16" borderId="57" xfId="0" applyNumberFormat="1" applyFont="1" applyFill="1" applyBorder="1" applyAlignment="1">
      <alignment horizontal="center" vertical="top" wrapText="1"/>
    </xf>
    <xf numFmtId="3" fontId="52" fillId="15" borderId="1" xfId="0" applyNumberFormat="1" applyFont="1" applyFill="1" applyBorder="1" applyAlignment="1">
      <alignment horizontal="left" vertical="top" wrapText="1"/>
    </xf>
    <xf numFmtId="3" fontId="19" fillId="15" borderId="1" xfId="0" applyNumberFormat="1" applyFont="1" applyFill="1" applyBorder="1" applyAlignment="1">
      <alignment vertical="top" wrapText="1"/>
    </xf>
    <xf numFmtId="3" fontId="26" fillId="15" borderId="1" xfId="0" applyNumberFormat="1" applyFont="1" applyFill="1" applyBorder="1" applyAlignment="1">
      <alignment vertical="top" wrapText="1"/>
    </xf>
    <xf numFmtId="0" fontId="2" fillId="8" borderId="0" xfId="0" applyFont="1" applyFill="1" applyBorder="1"/>
    <xf numFmtId="4" fontId="45" fillId="8" borderId="0" xfId="0" applyNumberFormat="1" applyFont="1" applyFill="1" applyBorder="1"/>
    <xf numFmtId="1" fontId="2" fillId="8" borderId="0" xfId="0" applyNumberFormat="1" applyFont="1" applyFill="1" applyBorder="1"/>
    <xf numFmtId="0" fontId="14" fillId="8" borderId="0" xfId="0" applyFont="1" applyFill="1" applyBorder="1"/>
    <xf numFmtId="4" fontId="43" fillId="8" borderId="0" xfId="0" applyNumberFormat="1" applyFont="1" applyFill="1" applyBorder="1"/>
    <xf numFmtId="0" fontId="15" fillId="8" borderId="0" xfId="0" applyFont="1" applyFill="1" applyBorder="1"/>
    <xf numFmtId="0" fontId="13" fillId="8" borderId="0" xfId="0" applyFont="1" applyFill="1" applyBorder="1"/>
    <xf numFmtId="0" fontId="12" fillId="8" borderId="0" xfId="0" applyFont="1" applyFill="1" applyBorder="1"/>
    <xf numFmtId="4" fontId="55" fillId="0" borderId="53" xfId="7" applyNumberFormat="1" applyFont="1" applyFill="1" applyBorder="1" applyAlignment="1">
      <alignment vertical="center" wrapText="1"/>
    </xf>
    <xf numFmtId="4" fontId="3" fillId="8" borderId="11" xfId="11" applyNumberFormat="1" applyFont="1" applyFill="1" applyBorder="1" applyAlignment="1">
      <alignment wrapText="1"/>
    </xf>
    <xf numFmtId="3" fontId="3" fillId="15" borderId="11" xfId="11" applyNumberFormat="1" applyFont="1" applyFill="1" applyBorder="1" applyAlignment="1">
      <alignment horizontal="center" vertical="center" wrapText="1"/>
    </xf>
    <xf numFmtId="4" fontId="1" fillId="8" borderId="11" xfId="11" applyNumberFormat="1" applyFont="1" applyFill="1" applyBorder="1" applyAlignment="1">
      <alignment wrapText="1"/>
    </xf>
    <xf numFmtId="4" fontId="1" fillId="8" borderId="11" xfId="11" applyNumberFormat="1" applyFont="1" applyFill="1" applyBorder="1" applyAlignment="1">
      <alignment vertical="top" wrapText="1"/>
    </xf>
    <xf numFmtId="4" fontId="1" fillId="8" borderId="11" xfId="0" applyNumberFormat="1" applyFont="1" applyFill="1" applyBorder="1" applyAlignment="1">
      <alignment wrapText="1"/>
    </xf>
    <xf numFmtId="3" fontId="1" fillId="8" borderId="11" xfId="0" applyNumberFormat="1" applyFont="1" applyFill="1" applyBorder="1" applyAlignment="1">
      <alignment wrapText="1"/>
    </xf>
    <xf numFmtId="4" fontId="55" fillId="0" borderId="57" xfId="7" applyNumberFormat="1" applyFont="1" applyFill="1" applyBorder="1" applyAlignment="1">
      <alignment vertical="center" wrapTex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38" xfId="0" applyFont="1" applyBorder="1" applyAlignment="1">
      <alignment horizontal="center" vertical="center"/>
    </xf>
    <xf numFmtId="0" fontId="2" fillId="21" borderId="0" xfId="0" applyFont="1" applyFill="1" applyAlignment="1">
      <alignment horizontal="center" vertical="top"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3" xfId="0" applyFont="1" applyBorder="1" applyAlignment="1">
      <alignment horizontal="justify" vertical="center" wrapText="1"/>
    </xf>
    <xf numFmtId="0" fontId="29" fillId="0" borderId="38" xfId="0" applyFont="1" applyBorder="1" applyAlignment="1">
      <alignment horizontal="justify" vertical="center" wrapText="1"/>
    </xf>
    <xf numFmtId="0" fontId="29" fillId="0" borderId="45" xfId="0" applyFont="1" applyBorder="1" applyAlignment="1">
      <alignment horizontal="justify" vertical="center" wrapText="1"/>
    </xf>
    <xf numFmtId="0" fontId="29" fillId="0" borderId="46" xfId="0" applyFont="1" applyBorder="1" applyAlignment="1">
      <alignment horizontal="justify" vertical="center" wrapText="1"/>
    </xf>
    <xf numFmtId="0" fontId="29" fillId="0" borderId="35" xfId="0" applyFont="1" applyBorder="1" applyAlignment="1">
      <alignment horizontal="justify" vertical="center" wrapText="1"/>
    </xf>
    <xf numFmtId="0" fontId="0" fillId="0" borderId="34" xfId="0" applyBorder="1" applyAlignment="1">
      <alignment vertical="center" wrapText="1"/>
    </xf>
    <xf numFmtId="0" fontId="0" fillId="0" borderId="33" xfId="0" applyBorder="1" applyAlignment="1">
      <alignment vertical="center" wrapText="1"/>
    </xf>
    <xf numFmtId="0" fontId="29" fillId="0" borderId="32" xfId="0" applyFont="1" applyBorder="1" applyAlignment="1">
      <alignment horizontal="justify" vertical="center" wrapText="1"/>
    </xf>
    <xf numFmtId="0" fontId="29" fillId="0" borderId="42" xfId="0" applyFont="1" applyBorder="1" applyAlignment="1">
      <alignment horizontal="justify" vertical="center" wrapText="1"/>
    </xf>
    <xf numFmtId="0" fontId="29" fillId="0" borderId="20" xfId="0" applyFont="1" applyBorder="1" applyAlignment="1">
      <alignment horizontal="justify" vertical="center" wrapText="1"/>
    </xf>
    <xf numFmtId="0" fontId="29" fillId="0" borderId="39"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41" xfId="0" applyFont="1" applyBorder="1" applyAlignment="1">
      <alignment horizontal="justify" vertical="center" wrapText="1"/>
    </xf>
    <xf numFmtId="0" fontId="29" fillId="0" borderId="43" xfId="0" applyFont="1" applyBorder="1" applyAlignment="1">
      <alignment horizontal="justify" vertical="center" wrapText="1"/>
    </xf>
    <xf numFmtId="0" fontId="29" fillId="0" borderId="44" xfId="0" applyFont="1" applyBorder="1" applyAlignment="1">
      <alignment horizontal="justify" vertical="center" wrapText="1"/>
    </xf>
    <xf numFmtId="0" fontId="7" fillId="6" borderId="20" xfId="2" applyFont="1" applyFill="1" applyBorder="1" applyAlignment="1">
      <alignment horizontal="center" vertical="top" wrapText="1"/>
    </xf>
    <xf numFmtId="0" fontId="7" fillId="6" borderId="0" xfId="2" applyFont="1" applyFill="1" applyBorder="1" applyAlignment="1">
      <alignment horizontal="center" vertical="top" wrapText="1"/>
    </xf>
    <xf numFmtId="0" fontId="7" fillId="6" borderId="21" xfId="2" applyFont="1" applyFill="1" applyBorder="1" applyAlignment="1">
      <alignment horizontal="center" vertical="top" wrapText="1"/>
    </xf>
    <xf numFmtId="0" fontId="7" fillId="3" borderId="13" xfId="2" applyFont="1" applyFill="1" applyBorder="1" applyAlignment="1">
      <alignment horizontal="center" wrapText="1"/>
    </xf>
    <xf numFmtId="0" fontId="7" fillId="3" borderId="14" xfId="2" applyFont="1" applyFill="1" applyBorder="1" applyAlignment="1">
      <alignment horizontal="center" wrapText="1"/>
    </xf>
    <xf numFmtId="0" fontId="7" fillId="3" borderId="15" xfId="2" applyFont="1" applyFill="1" applyBorder="1" applyAlignment="1">
      <alignment horizontal="center" wrapText="1"/>
    </xf>
    <xf numFmtId="0" fontId="7" fillId="4" borderId="13" xfId="2" applyFont="1" applyFill="1" applyBorder="1" applyAlignment="1">
      <alignment horizontal="center"/>
    </xf>
    <xf numFmtId="0" fontId="7" fillId="4" borderId="14" xfId="2" applyFont="1" applyFill="1" applyBorder="1" applyAlignment="1">
      <alignment horizontal="center"/>
    </xf>
    <xf numFmtId="0" fontId="7" fillId="4" borderId="15" xfId="2" applyFont="1" applyFill="1" applyBorder="1" applyAlignment="1">
      <alignment horizontal="center"/>
    </xf>
    <xf numFmtId="0" fontId="7" fillId="6" borderId="1" xfId="2" applyFont="1" applyFill="1" applyBorder="1" applyAlignment="1">
      <alignment horizontal="center" vertical="center" wrapText="1"/>
    </xf>
    <xf numFmtId="0" fontId="7" fillId="6" borderId="17" xfId="2" applyFont="1" applyFill="1" applyBorder="1" applyAlignment="1">
      <alignment horizontal="center" vertical="center" wrapText="1"/>
    </xf>
    <xf numFmtId="0" fontId="7" fillId="6" borderId="18" xfId="2" applyFont="1" applyFill="1" applyBorder="1" applyAlignment="1">
      <alignment horizontal="center" vertical="center" wrapText="1"/>
    </xf>
    <xf numFmtId="0" fontId="7" fillId="6" borderId="19" xfId="2" applyFont="1" applyFill="1" applyBorder="1" applyAlignment="1">
      <alignment horizontal="center" vertical="center" wrapText="1"/>
    </xf>
    <xf numFmtId="0" fontId="21" fillId="15" borderId="2" xfId="0" applyFont="1" applyFill="1" applyBorder="1" applyAlignment="1">
      <alignment horizontal="center" vertical="center" wrapText="1"/>
    </xf>
    <xf numFmtId="0" fontId="21" fillId="15" borderId="4" xfId="0" applyFont="1" applyFill="1" applyBorder="1" applyAlignment="1">
      <alignment horizontal="center" vertical="center" wrapText="1"/>
    </xf>
    <xf numFmtId="0" fontId="21" fillId="15" borderId="2" xfId="0" applyFont="1" applyFill="1" applyBorder="1" applyAlignment="1">
      <alignment horizontal="left" vertical="center" wrapText="1"/>
    </xf>
    <xf numFmtId="0" fontId="21" fillId="15" borderId="4" xfId="0" applyFont="1" applyFill="1" applyBorder="1" applyAlignment="1">
      <alignment horizontal="left" vertical="center" wrapText="1"/>
    </xf>
    <xf numFmtId="3" fontId="21" fillId="17" borderId="1" xfId="0" applyNumberFormat="1" applyFont="1" applyFill="1" applyBorder="1" applyAlignment="1">
      <alignment horizontal="center"/>
    </xf>
    <xf numFmtId="3" fontId="21" fillId="17" borderId="1" xfId="0" applyNumberFormat="1" applyFont="1" applyFill="1" applyBorder="1" applyAlignment="1">
      <alignment horizont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1" fillId="0" borderId="4" xfId="0" applyFont="1" applyBorder="1" applyAlignment="1">
      <alignment horizontal="center" vertical="top" wrapText="1"/>
    </xf>
    <xf numFmtId="0" fontId="3" fillId="0" borderId="9"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center" vertical="top" wrapText="1"/>
    </xf>
    <xf numFmtId="0" fontId="1" fillId="0" borderId="30" xfId="0" applyFont="1" applyBorder="1" applyAlignment="1">
      <alignment horizontal="center" vertical="top" wrapText="1"/>
    </xf>
    <xf numFmtId="0" fontId="1" fillId="0" borderId="0" xfId="0" applyFont="1" applyBorder="1" applyAlignment="1">
      <alignment horizontal="center" vertical="top" wrapText="1"/>
    </xf>
    <xf numFmtId="0" fontId="1" fillId="0" borderId="29" xfId="0" applyFont="1" applyBorder="1" applyAlignment="1">
      <alignment horizontal="center" vertical="top" wrapText="1"/>
    </xf>
    <xf numFmtId="0" fontId="3" fillId="0" borderId="30" xfId="0" applyFont="1" applyBorder="1" applyAlignment="1">
      <alignment horizontal="center" vertical="top" wrapText="1"/>
    </xf>
    <xf numFmtId="0" fontId="3" fillId="0" borderId="0" xfId="0" applyFont="1" applyBorder="1" applyAlignment="1">
      <alignment horizontal="center" vertical="top" wrapText="1"/>
    </xf>
    <xf numFmtId="0" fontId="3" fillId="0" borderId="29"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1" fillId="0" borderId="6" xfId="0" applyFont="1" applyBorder="1" applyAlignment="1">
      <alignment horizontal="center" vertical="top" wrapText="1"/>
    </xf>
    <xf numFmtId="0" fontId="3" fillId="0" borderId="1" xfId="0" applyFont="1" applyBorder="1" applyAlignment="1">
      <alignment horizontal="left" vertical="top" wrapText="1"/>
    </xf>
    <xf numFmtId="4" fontId="49" fillId="8" borderId="0" xfId="0" applyNumberFormat="1" applyFont="1" applyFill="1" applyBorder="1"/>
    <xf numFmtId="0" fontId="27" fillId="8" borderId="0" xfId="0" applyFont="1" applyFill="1" applyBorder="1" applyAlignment="1">
      <alignment vertical="center" wrapText="1"/>
    </xf>
    <xf numFmtId="0" fontId="21" fillId="8" borderId="0" xfId="0" applyFont="1" applyFill="1" applyBorder="1" applyAlignment="1">
      <alignment vertical="center" wrapText="1"/>
    </xf>
    <xf numFmtId="0" fontId="21" fillId="8" borderId="0" xfId="0" applyFont="1" applyFill="1" applyBorder="1" applyAlignment="1">
      <alignment horizontal="justify" vertical="center" wrapText="1"/>
    </xf>
    <xf numFmtId="0" fontId="21" fillId="8" borderId="0" xfId="0" applyFont="1" applyFill="1" applyBorder="1" applyAlignment="1">
      <alignment horizontal="center" vertical="center" wrapText="1"/>
    </xf>
    <xf numFmtId="0" fontId="2" fillId="8" borderId="0" xfId="0" applyFont="1" applyFill="1" applyBorder="1" applyAlignment="1">
      <alignment horizontal="justify" vertical="center" wrapText="1"/>
    </xf>
    <xf numFmtId="0" fontId="2" fillId="8" borderId="0" xfId="0" applyFont="1" applyFill="1" applyBorder="1" applyAlignment="1">
      <alignment horizontal="center" vertical="center" wrapText="1"/>
    </xf>
    <xf numFmtId="4" fontId="14" fillId="8" borderId="0" xfId="0" applyNumberFormat="1" applyFont="1" applyFill="1" applyBorder="1"/>
    <xf numFmtId="4" fontId="55" fillId="0" borderId="55" xfId="7" applyNumberFormat="1" applyFont="1" applyFill="1" applyBorder="1" applyAlignment="1">
      <alignment vertical="center" wrapText="1"/>
    </xf>
    <xf numFmtId="0" fontId="46" fillId="8" borderId="0" xfId="0" applyFont="1" applyFill="1" applyBorder="1" applyAlignment="1">
      <alignment vertical="center" wrapText="1"/>
    </xf>
    <xf numFmtId="0" fontId="47" fillId="8" borderId="0" xfId="0" applyFont="1" applyFill="1" applyBorder="1" applyAlignment="1">
      <alignment vertical="top" wrapText="1"/>
    </xf>
    <xf numFmtId="0" fontId="25" fillId="8" borderId="0" xfId="0" applyFont="1" applyFill="1" applyBorder="1" applyAlignment="1">
      <alignment vertical="top" wrapText="1"/>
    </xf>
    <xf numFmtId="0" fontId="1" fillId="8" borderId="0" xfId="0" applyFont="1" applyFill="1" applyBorder="1" applyAlignment="1">
      <alignment vertical="top" wrapText="1"/>
    </xf>
    <xf numFmtId="0" fontId="54" fillId="8" borderId="0" xfId="0" applyFont="1" applyFill="1" applyBorder="1" applyAlignment="1">
      <alignment vertical="top" wrapText="1"/>
    </xf>
    <xf numFmtId="4" fontId="55" fillId="8" borderId="0" xfId="7" applyNumberFormat="1" applyFont="1" applyFill="1" applyBorder="1" applyAlignment="1">
      <alignment vertical="center" wrapText="1"/>
    </xf>
    <xf numFmtId="3" fontId="1" fillId="8" borderId="5" xfId="11" applyNumberFormat="1" applyFont="1" applyFill="1" applyBorder="1" applyAlignment="1">
      <alignment horizontal="right" wrapText="1"/>
    </xf>
    <xf numFmtId="3" fontId="1" fillId="8" borderId="9" xfId="11" applyNumberFormat="1" applyFont="1" applyFill="1" applyBorder="1" applyAlignment="1">
      <alignment horizontal="right" wrapText="1"/>
    </xf>
    <xf numFmtId="3" fontId="1" fillId="8" borderId="2" xfId="11" applyNumberFormat="1" applyFont="1" applyFill="1" applyBorder="1" applyAlignment="1">
      <alignment wrapText="1"/>
    </xf>
    <xf numFmtId="4" fontId="55" fillId="0" borderId="59" xfId="7" applyNumberFormat="1" applyFont="1" applyFill="1" applyBorder="1" applyAlignment="1">
      <alignment vertical="center" wrapText="1"/>
    </xf>
    <xf numFmtId="3" fontId="33" fillId="2" borderId="53" xfId="0" applyNumberFormat="1" applyFont="1" applyFill="1" applyBorder="1" applyAlignment="1">
      <alignment horizontal="center" vertical="center" wrapText="1"/>
    </xf>
  </cellXfs>
  <cellStyles count="12">
    <cellStyle name="Comma" xfId="1" builtinId="3"/>
    <cellStyle name="Comma 2" xfId="4"/>
    <cellStyle name="Comma 2 2" xfId="9"/>
    <cellStyle name="Comma 3" xfId="5"/>
    <cellStyle name="Comma 3 2" xfId="10"/>
    <cellStyle name="Comma 4" xfId="8"/>
    <cellStyle name="Normal" xfId="0" builtinId="0"/>
    <cellStyle name="Normal 2" xfId="2"/>
    <cellStyle name="Normal 3" xfId="6"/>
    <cellStyle name="Normal 4" xfId="11"/>
    <cellStyle name="Percent" xfId="7" builtinId="5"/>
    <cellStyle name="Percent 2" xfId="3"/>
  </cellStyles>
  <dxfs count="0"/>
  <tableStyles count="0" defaultTableStyle="TableStyleMedium2" defaultPivotStyle="PivotStyleLight16"/>
  <colors>
    <mruColors>
      <color rgb="FFCCCCFF"/>
      <color rgb="FFCCEC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0</xdr:col>
      <xdr:colOff>2768621</xdr:colOff>
      <xdr:row>1</xdr:row>
      <xdr:rowOff>593661</xdr:rowOff>
    </xdr:to>
    <xdr:sp macro="" textlink="">
      <xdr:nvSpPr>
        <xdr:cNvPr id="2" name="B43B9E99-EEEB-43E0-84A8-B82E90D6F7D8">
          <a:extLst>
            <a:ext uri="{FF2B5EF4-FFF2-40B4-BE49-F238E27FC236}">
              <a16:creationId xmlns:a16="http://schemas.microsoft.com/office/drawing/2014/main" id="{00000000-0008-0000-0300-000002000000}"/>
            </a:ext>
          </a:extLst>
        </xdr:cNvPr>
        <xdr:cNvSpPr txBox="1"/>
      </xdr:nvSpPr>
      <xdr:spPr>
        <a:xfrm>
          <a:off x="127000" y="127000"/>
          <a:ext cx="2641621" cy="67621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63500" tIns="63500" rIns="63500" bIns="63500" rtlCol="0" anchor="t">
          <a:spAutoFit/>
        </a:bodyPr>
        <a:lstStyle/>
        <a:p>
          <a:r>
            <a:rPr lang="en-US" sz="1300" b="1"/>
            <a:t>3D Maps Tours
</a:t>
          </a:r>
          <a:r>
            <a:rPr lang="en-US" sz="1100"/>
            <a:t>This workbook has 3D Maps tours available.
Open 3D Maps to edit or play the tours.</a:t>
          </a:r>
          <a:endParaRPr lang="bg-BG"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9.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0.bin"/><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11" Type="http://schemas.openxmlformats.org/officeDocument/2006/relationships/printerSettings" Target="../printerSettings/printerSettings73.bin"/><Relationship Id="rId5" Type="http://schemas.openxmlformats.org/officeDocument/2006/relationships/printerSettings" Target="../printerSettings/printerSettings67.bin"/><Relationship Id="rId10" Type="http://schemas.openxmlformats.org/officeDocument/2006/relationships/printerSettings" Target="../printerSettings/printerSettings72.bin"/><Relationship Id="rId4" Type="http://schemas.openxmlformats.org/officeDocument/2006/relationships/printerSettings" Target="../printerSettings/printerSettings66.bin"/><Relationship Id="rId9" Type="http://schemas.openxmlformats.org/officeDocument/2006/relationships/printerSettings" Target="../printerSettings/printerSettings7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1.bin"/><Relationship Id="rId3" Type="http://schemas.openxmlformats.org/officeDocument/2006/relationships/printerSettings" Target="../printerSettings/printerSettings76.bin"/><Relationship Id="rId7" Type="http://schemas.openxmlformats.org/officeDocument/2006/relationships/printerSettings" Target="../printerSettings/printerSettings80.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printerSettings" Target="../printerSettings/printerSettings79.bin"/><Relationship Id="rId11" Type="http://schemas.openxmlformats.org/officeDocument/2006/relationships/printerSettings" Target="../printerSettings/printerSettings84.bin"/><Relationship Id="rId5" Type="http://schemas.openxmlformats.org/officeDocument/2006/relationships/printerSettings" Target="../printerSettings/printerSettings78.bin"/><Relationship Id="rId10" Type="http://schemas.openxmlformats.org/officeDocument/2006/relationships/printerSettings" Target="../printerSettings/printerSettings83.bin"/><Relationship Id="rId4" Type="http://schemas.openxmlformats.org/officeDocument/2006/relationships/printerSettings" Target="../printerSettings/printerSettings77.bin"/><Relationship Id="rId9" Type="http://schemas.openxmlformats.org/officeDocument/2006/relationships/printerSettings" Target="../printerSettings/printerSettings8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3"/>
  <sheetViews>
    <sheetView zoomScale="85" zoomScaleNormal="85" workbookViewId="0">
      <selection activeCell="D21" sqref="D21"/>
    </sheetView>
  </sheetViews>
  <sheetFormatPr defaultColWidth="8.85546875" defaultRowHeight="15" x14ac:dyDescent="0.25"/>
  <cols>
    <col min="1" max="1" width="12" style="129" customWidth="1"/>
    <col min="2" max="2" width="23.7109375" style="129" customWidth="1"/>
    <col min="3" max="3" width="6.42578125" style="129" customWidth="1"/>
    <col min="4" max="8" width="15.5703125" style="129" bestFit="1" customWidth="1"/>
    <col min="9" max="9" width="14.85546875" style="129" customWidth="1"/>
    <col min="10" max="10" width="15.5703125" style="129" bestFit="1" customWidth="1"/>
    <col min="11" max="11" width="15.140625" style="129" customWidth="1"/>
    <col min="12" max="12" width="17" style="129" bestFit="1" customWidth="1"/>
    <col min="13" max="13" width="18.28515625" style="129" bestFit="1" customWidth="1"/>
    <col min="14" max="14" width="14.85546875" style="129" bestFit="1" customWidth="1"/>
    <col min="15" max="15" width="16.42578125" style="129" customWidth="1"/>
    <col min="16" max="16" width="8" style="129" bestFit="1" customWidth="1"/>
    <col min="17" max="17" width="10" style="129" bestFit="1" customWidth="1"/>
    <col min="18" max="18" width="9.28515625" style="129" bestFit="1" customWidth="1"/>
    <col min="19" max="19" width="10" style="129" bestFit="1" customWidth="1"/>
    <col min="20" max="20" width="9.28515625" style="129" bestFit="1" customWidth="1"/>
    <col min="21" max="16384" width="8.85546875" style="129"/>
  </cols>
  <sheetData>
    <row r="2" spans="1:15" ht="15.75" thickBot="1" x14ac:dyDescent="0.3">
      <c r="A2" s="129" t="s">
        <v>0</v>
      </c>
      <c r="K2" s="197"/>
      <c r="L2" s="198" t="s">
        <v>1</v>
      </c>
      <c r="M2" s="197"/>
    </row>
    <row r="3" spans="1:15" ht="17.25" thickBot="1" x14ac:dyDescent="0.3">
      <c r="A3" s="368" t="s">
        <v>2</v>
      </c>
      <c r="B3" s="369"/>
      <c r="C3" s="369"/>
      <c r="D3" s="369"/>
      <c r="E3" s="369"/>
      <c r="F3" s="369"/>
      <c r="G3" s="369"/>
      <c r="H3" s="369"/>
      <c r="I3" s="369"/>
      <c r="J3" s="369"/>
      <c r="K3" s="369"/>
      <c r="L3" s="370"/>
    </row>
    <row r="4" spans="1:15" ht="16.5" thickBot="1" x14ac:dyDescent="0.3">
      <c r="A4" s="180" t="s">
        <v>3</v>
      </c>
      <c r="B4" s="181" t="s">
        <v>4</v>
      </c>
      <c r="C4" s="182">
        <v>2021</v>
      </c>
      <c r="D4" s="183">
        <v>2022</v>
      </c>
      <c r="E4" s="183">
        <v>2023</v>
      </c>
      <c r="F4" s="184">
        <v>2024</v>
      </c>
      <c r="G4" s="184">
        <v>2025</v>
      </c>
      <c r="H4" s="185">
        <v>2026</v>
      </c>
      <c r="I4" s="184"/>
      <c r="J4" s="186">
        <v>2027</v>
      </c>
      <c r="K4" s="186"/>
      <c r="L4" s="184" t="s">
        <v>5</v>
      </c>
      <c r="M4" s="217"/>
      <c r="O4" s="130"/>
    </row>
    <row r="5" spans="1:15" ht="42.75" thickBot="1" x14ac:dyDescent="0.3">
      <c r="A5" s="187"/>
      <c r="B5" s="175"/>
      <c r="C5" s="176"/>
      <c r="D5" s="177"/>
      <c r="E5" s="177"/>
      <c r="F5" s="178"/>
      <c r="G5" s="178"/>
      <c r="H5" s="216" t="s">
        <v>6</v>
      </c>
      <c r="I5" s="216" t="s">
        <v>7</v>
      </c>
      <c r="J5" s="216" t="s">
        <v>8</v>
      </c>
      <c r="K5" s="216" t="s">
        <v>9</v>
      </c>
      <c r="L5" s="178"/>
      <c r="M5" s="217"/>
      <c r="O5" s="130"/>
    </row>
    <row r="6" spans="1:15" ht="30.75" thickBot="1" x14ac:dyDescent="0.3">
      <c r="A6" s="188" t="s">
        <v>10</v>
      </c>
      <c r="B6" s="179" t="s">
        <v>13</v>
      </c>
      <c r="C6" s="148"/>
      <c r="D6" s="142"/>
      <c r="E6" s="142"/>
      <c r="F6" s="142"/>
      <c r="G6" s="142"/>
      <c r="H6" s="142"/>
      <c r="I6" s="142"/>
      <c r="J6" s="142"/>
      <c r="K6" s="142"/>
      <c r="L6" s="214">
        <f>SUM(C6:J6)</f>
        <v>0</v>
      </c>
      <c r="M6" s="218"/>
      <c r="N6" s="253" t="s">
        <v>325</v>
      </c>
      <c r="O6" s="130"/>
    </row>
    <row r="7" spans="1:15" ht="15.75" thickBot="1" x14ac:dyDescent="0.3">
      <c r="A7" s="189"/>
      <c r="B7" s="179" t="s">
        <v>14</v>
      </c>
      <c r="C7" s="148"/>
      <c r="D7" s="142">
        <v>1052450</v>
      </c>
      <c r="E7" s="142">
        <v>1266685</v>
      </c>
      <c r="F7" s="142">
        <v>2020705</v>
      </c>
      <c r="G7" s="142">
        <v>2721171</v>
      </c>
      <c r="H7" s="142">
        <v>1577252</v>
      </c>
      <c r="I7" s="251">
        <v>1577252</v>
      </c>
      <c r="J7" s="142">
        <v>1842749</v>
      </c>
      <c r="K7" s="251">
        <v>1842749</v>
      </c>
      <c r="L7" s="214">
        <f>SUM(C7:K7)</f>
        <v>13901013</v>
      </c>
      <c r="M7" s="130">
        <f>+L7-I7-K7</f>
        <v>10481012</v>
      </c>
      <c r="N7" s="254">
        <f>+I7+K7</f>
        <v>3420001</v>
      </c>
      <c r="O7" s="130">
        <f>+L7-N7</f>
        <v>10481012</v>
      </c>
    </row>
    <row r="8" spans="1:15" ht="15.75" thickBot="1" x14ac:dyDescent="0.3">
      <c r="A8" s="189"/>
      <c r="B8" s="179" t="s">
        <v>11</v>
      </c>
      <c r="C8" s="148" t="s">
        <v>12</v>
      </c>
      <c r="D8" s="142">
        <v>5262250</v>
      </c>
      <c r="E8" s="142">
        <v>6333428</v>
      </c>
      <c r="F8" s="142">
        <v>10103526</v>
      </c>
      <c r="G8" s="142">
        <v>13605855</v>
      </c>
      <c r="H8" s="142">
        <v>10886262</v>
      </c>
      <c r="I8" s="251">
        <v>10886262</v>
      </c>
      <c r="J8" s="142">
        <v>14650452</v>
      </c>
      <c r="K8" s="251">
        <v>14650452</v>
      </c>
      <c r="L8" s="214">
        <f>SUM(C8:K8)</f>
        <v>86378487</v>
      </c>
      <c r="M8" s="130">
        <f>+L8-I8-K8</f>
        <v>60841773</v>
      </c>
      <c r="N8" s="254">
        <f>+I8+K8</f>
        <v>25536714</v>
      </c>
      <c r="O8" s="130">
        <f>+L8-N8</f>
        <v>60841773</v>
      </c>
    </row>
    <row r="9" spans="1:15" ht="39" thickBot="1" x14ac:dyDescent="0.3">
      <c r="A9" s="190"/>
      <c r="B9" s="179" t="s">
        <v>15</v>
      </c>
      <c r="C9" s="148"/>
      <c r="D9" s="142"/>
      <c r="E9" s="142"/>
      <c r="F9" s="142"/>
      <c r="G9" s="142"/>
      <c r="H9" s="142"/>
      <c r="I9" s="142"/>
      <c r="J9" s="142"/>
      <c r="K9" s="142"/>
      <c r="L9" s="214">
        <f t="shared" ref="L9:L17" si="0">SUM(C9:J9)</f>
        <v>0</v>
      </c>
      <c r="M9" s="217"/>
      <c r="N9" s="130"/>
      <c r="O9" s="130"/>
    </row>
    <row r="10" spans="1:15" ht="16.5" thickBot="1" x14ac:dyDescent="0.3">
      <c r="A10" s="192" t="s">
        <v>16</v>
      </c>
      <c r="B10" s="193"/>
      <c r="C10" s="199" t="s">
        <v>17</v>
      </c>
      <c r="D10" s="200"/>
      <c r="E10" s="200"/>
      <c r="F10" s="200"/>
      <c r="G10" s="200"/>
      <c r="H10" s="200"/>
      <c r="I10" s="200"/>
      <c r="J10" s="200"/>
      <c r="K10" s="207"/>
      <c r="L10" s="206">
        <f t="shared" si="0"/>
        <v>0</v>
      </c>
      <c r="M10" s="219"/>
      <c r="N10" s="204"/>
    </row>
    <row r="11" spans="1:15" ht="21" customHeight="1" thickBot="1" x14ac:dyDescent="0.3">
      <c r="A11" s="191" t="s">
        <v>18</v>
      </c>
      <c r="B11" s="179" t="s">
        <v>19</v>
      </c>
      <c r="C11" s="148" t="s">
        <v>20</v>
      </c>
      <c r="D11" s="142"/>
      <c r="E11" s="142"/>
      <c r="F11" s="142"/>
      <c r="G11" s="142"/>
      <c r="H11" s="142"/>
      <c r="I11" s="142"/>
      <c r="J11" s="142"/>
      <c r="K11" s="205"/>
      <c r="L11" s="206">
        <f t="shared" si="0"/>
        <v>0</v>
      </c>
      <c r="M11" s="219"/>
    </row>
    <row r="12" spans="1:15" ht="16.5" thickBot="1" x14ac:dyDescent="0.3">
      <c r="A12" s="189"/>
      <c r="B12" s="179" t="s">
        <v>21</v>
      </c>
      <c r="C12" s="148"/>
      <c r="D12" s="142"/>
      <c r="E12" s="142"/>
      <c r="F12" s="142"/>
      <c r="G12" s="142"/>
      <c r="H12" s="142"/>
      <c r="I12" s="142"/>
      <c r="J12" s="142"/>
      <c r="K12" s="205"/>
      <c r="L12" s="206">
        <f t="shared" si="0"/>
        <v>0</v>
      </c>
      <c r="M12" s="220"/>
    </row>
    <row r="13" spans="1:15" ht="16.5" thickBot="1" x14ac:dyDescent="0.3">
      <c r="A13" s="189"/>
      <c r="B13" s="179" t="s">
        <v>22</v>
      </c>
      <c r="C13" s="148"/>
      <c r="D13" s="142"/>
      <c r="E13" s="142"/>
      <c r="F13" s="142"/>
      <c r="G13" s="142"/>
      <c r="H13" s="142"/>
      <c r="I13" s="142"/>
      <c r="J13" s="142"/>
      <c r="K13" s="205"/>
      <c r="L13" s="206">
        <f t="shared" si="0"/>
        <v>0</v>
      </c>
      <c r="M13" s="220"/>
    </row>
    <row r="14" spans="1:15" ht="39" thickBot="1" x14ac:dyDescent="0.3">
      <c r="A14" s="190"/>
      <c r="B14" s="179" t="s">
        <v>23</v>
      </c>
      <c r="C14" s="148"/>
      <c r="D14" s="142"/>
      <c r="E14" s="142"/>
      <c r="F14" s="142"/>
      <c r="G14" s="142"/>
      <c r="H14" s="142"/>
      <c r="I14" s="142"/>
      <c r="J14" s="142"/>
      <c r="K14" s="205"/>
      <c r="L14" s="206">
        <f t="shared" si="0"/>
        <v>0</v>
      </c>
      <c r="M14" s="219"/>
    </row>
    <row r="15" spans="1:15" ht="14.45" customHeight="1" thickBot="1" x14ac:dyDescent="0.3">
      <c r="A15" s="192" t="s">
        <v>24</v>
      </c>
      <c r="B15" s="196"/>
      <c r="C15" s="201"/>
      <c r="D15" s="209"/>
      <c r="E15" s="209"/>
      <c r="F15" s="209"/>
      <c r="G15" s="209"/>
      <c r="H15" s="209"/>
      <c r="I15" s="209"/>
      <c r="J15" s="209"/>
      <c r="K15" s="208"/>
      <c r="L15" s="206">
        <f t="shared" si="0"/>
        <v>0</v>
      </c>
      <c r="M15" s="219"/>
    </row>
    <row r="16" spans="1:15" ht="26.25" thickBot="1" x14ac:dyDescent="0.3">
      <c r="A16" s="191" t="s">
        <v>25</v>
      </c>
      <c r="B16" s="179" t="s">
        <v>26</v>
      </c>
      <c r="C16" s="148"/>
      <c r="D16" s="142"/>
      <c r="E16" s="142"/>
      <c r="F16" s="142"/>
      <c r="G16" s="142"/>
      <c r="H16" s="142"/>
      <c r="I16" s="142"/>
      <c r="J16" s="142"/>
      <c r="K16" s="205"/>
      <c r="L16" s="206">
        <f t="shared" si="0"/>
        <v>0</v>
      </c>
      <c r="M16" s="219"/>
    </row>
    <row r="17" spans="1:13" ht="13.9" customHeight="1" thickBot="1" x14ac:dyDescent="0.3">
      <c r="A17" s="191" t="s">
        <v>27</v>
      </c>
      <c r="B17" s="179" t="s">
        <v>28</v>
      </c>
      <c r="C17" s="148"/>
      <c r="D17" s="142"/>
      <c r="E17" s="142"/>
      <c r="F17" s="142"/>
      <c r="G17" s="142"/>
      <c r="H17" s="142"/>
      <c r="I17" s="142"/>
      <c r="J17" s="142"/>
      <c r="K17" s="205"/>
      <c r="L17" s="206">
        <f t="shared" si="0"/>
        <v>0</v>
      </c>
      <c r="M17" s="221"/>
    </row>
    <row r="18" spans="1:13" ht="16.5" thickBot="1" x14ac:dyDescent="0.3">
      <c r="A18" s="194" t="s">
        <v>29</v>
      </c>
      <c r="B18" s="195"/>
      <c r="C18" s="202" t="s">
        <v>30</v>
      </c>
      <c r="D18" s="203">
        <f t="shared" ref="D18:K18" si="1">SUM(D6:D17)</f>
        <v>6314700</v>
      </c>
      <c r="E18" s="203">
        <f t="shared" si="1"/>
        <v>7600113</v>
      </c>
      <c r="F18" s="203">
        <f t="shared" si="1"/>
        <v>12124231</v>
      </c>
      <c r="G18" s="203">
        <f t="shared" si="1"/>
        <v>16327026</v>
      </c>
      <c r="H18" s="203">
        <f t="shared" si="1"/>
        <v>12463514</v>
      </c>
      <c r="I18" s="252">
        <f t="shared" si="1"/>
        <v>12463514</v>
      </c>
      <c r="J18" s="203">
        <f t="shared" si="1"/>
        <v>16493201</v>
      </c>
      <c r="K18" s="203">
        <f t="shared" si="1"/>
        <v>16493201</v>
      </c>
      <c r="L18" s="227">
        <f>SUM(C18:K18)</f>
        <v>100279500</v>
      </c>
      <c r="M18" s="222"/>
    </row>
    <row r="20" spans="1:13" x14ac:dyDescent="0.25">
      <c r="E20" s="204"/>
      <c r="F20" s="204"/>
      <c r="G20" s="204"/>
      <c r="H20" s="204"/>
      <c r="I20" s="204"/>
      <c r="J20" s="204"/>
      <c r="K20" s="204"/>
    </row>
    <row r="21" spans="1:13" ht="113.25" customHeight="1" x14ac:dyDescent="0.25">
      <c r="I21" s="371" t="s">
        <v>323</v>
      </c>
      <c r="J21" s="371"/>
      <c r="K21" s="371"/>
    </row>
    <row r="23" spans="1:13" ht="19.5" x14ac:dyDescent="0.3">
      <c r="D23" s="213"/>
      <c r="E23" s="213"/>
      <c r="F23" s="213"/>
      <c r="G23" s="213"/>
      <c r="H23" s="213"/>
      <c r="I23" s="213"/>
      <c r="J23" s="213"/>
    </row>
  </sheetData>
  <customSheetViews>
    <customSheetView guid="{B426F9F8-EB1A-4D7B-9478-7E22D414CC12}" showPageBreaks="1" printArea="1">
      <selection activeCell="O8" sqref="O8"/>
      <pageMargins left="0.7" right="0.7" top="0.75" bottom="0.75" header="0.3" footer="0.3"/>
      <pageSetup paperSize="9" orientation="portrait" horizontalDpi="300" verticalDpi="300" r:id="rId1"/>
    </customSheetView>
    <customSheetView guid="{56BC42A3-D967-4F27-BD5A-CB0B8CB7F657}" scale="115" showPageBreaks="1" printArea="1">
      <selection activeCell="F29" sqref="F29"/>
      <pageMargins left="0.7" right="0.7" top="0.75" bottom="0.75" header="0.3" footer="0.3"/>
      <pageSetup paperSize="9" orientation="portrait" horizontalDpi="300" verticalDpi="300" r:id="rId2"/>
    </customSheetView>
    <customSheetView guid="{D1BD168D-40B4-46AB-88B7-64C22520CFA0}" scale="115" showPageBreaks="1" printArea="1">
      <selection activeCell="A2" sqref="A2"/>
      <pageMargins left="0.7" right="0.7" top="0.75" bottom="0.75" header="0.3" footer="0.3"/>
      <pageSetup paperSize="9" orientation="portrait" horizontalDpi="300" verticalDpi="300" r:id="rId3"/>
    </customSheetView>
    <customSheetView guid="{AD504361-49F3-4986-BDBF-FB73E2299976}" printArea="1" topLeftCell="C1">
      <selection activeCell="M6" sqref="M6:M8"/>
      <pageMargins left="0.7" right="0.7" top="0.75" bottom="0.75" header="0.3" footer="0.3"/>
      <pageSetup paperSize="9" orientation="portrait" horizontalDpi="300" verticalDpi="300" r:id="rId4"/>
    </customSheetView>
    <customSheetView guid="{2A6315F5-C9A2-43A7-B337-00FD30A3EB26}" scale="115" showPageBreaks="1" printArea="1">
      <selection activeCell="F29" sqref="F29"/>
      <pageMargins left="0.7" right="0.7" top="0.75" bottom="0.75" header="0.3" footer="0.3"/>
      <pageSetup paperSize="9" orientation="portrait" horizontalDpi="300" verticalDpi="300" r:id="rId5"/>
    </customSheetView>
    <customSheetView guid="{E07B67F4-8A17-4050-B9B8-81977BCB02E2}" scale="115" showPageBreaks="1" printArea="1">
      <selection activeCell="A21" sqref="A21"/>
      <pageMargins left="0.7" right="0.7" top="0.75" bottom="0.75" header="0.3" footer="0.3"/>
      <pageSetup paperSize="9" orientation="portrait" horizontalDpi="300" verticalDpi="300" r:id="rId6"/>
    </customSheetView>
    <customSheetView guid="{9CD5F6CE-0E1C-42DA-A598-93523B740CBC}" scale="115" showPageBreaks="1" printArea="1">
      <selection activeCell="F29" sqref="F29"/>
      <pageMargins left="0.7" right="0.7" top="0.75" bottom="0.75" header="0.3" footer="0.3"/>
      <pageSetup paperSize="9" orientation="portrait" horizontalDpi="300" verticalDpi="300" r:id="rId7"/>
    </customSheetView>
    <customSheetView guid="{72B67681-E295-44ED-80A6-F4B618B242B1}" scale="115">
      <selection activeCell="F29" sqref="F29"/>
    </customSheetView>
    <customSheetView guid="{77799D3C-38E2-410A-80FA-AECD8E6AB89B}" scale="115" showPageBreaks="1" printArea="1">
      <selection activeCell="F29" sqref="F29"/>
      <pageMargins left="0.7" right="0.7" top="0.75" bottom="0.75" header="0.3" footer="0.3"/>
      <pageSetup paperSize="9" orientation="portrait" horizontalDpi="300" verticalDpi="300" r:id="rId8"/>
    </customSheetView>
    <customSheetView guid="{13EBDE9D-EC74-4522-9EED-363E735B4A78}" scale="90" showPageBreaks="1" showGridLines="0" printArea="1">
      <selection activeCell="J7" sqref="J7"/>
      <pageMargins left="0.7" right="0.7" top="0.75" bottom="0.75" header="0.3" footer="0.3"/>
      <pageSetup paperSize="9" orientation="portrait" horizontalDpi="300" verticalDpi="300" r:id="rId9"/>
    </customSheetView>
    <customSheetView guid="{32A281B9-28FB-4D0E-8C01-BFBADAC8C3C9}" scale="115" showPageBreaks="1" printArea="1">
      <selection activeCell="N10" sqref="N10"/>
      <pageMargins left="0.7" right="0.7" top="0.75" bottom="0.75" header="0.3" footer="0.3"/>
      <pageSetup paperSize="9" orientation="portrait" horizontalDpi="300" verticalDpi="300" r:id="rId10"/>
    </customSheetView>
  </customSheetViews>
  <mergeCells count="2">
    <mergeCell ref="A3:L3"/>
    <mergeCell ref="I21:K21"/>
  </mergeCells>
  <pageMargins left="0.7" right="0.7" top="0.75" bottom="0.75" header="0.3" footer="0.3"/>
  <pageSetup paperSize="9" orientation="portrait" horizontalDpi="300" verticalDpi="3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opLeftCell="G1" zoomScaleNormal="80" workbookViewId="0">
      <selection activeCell="N8" sqref="N8"/>
    </sheetView>
  </sheetViews>
  <sheetFormatPr defaultColWidth="12.85546875" defaultRowHeight="15" x14ac:dyDescent="0.25"/>
  <cols>
    <col min="1" max="1" width="12.85546875" style="134" customWidth="1"/>
    <col min="2" max="2" width="27.28515625" style="134" customWidth="1"/>
    <col min="3" max="4" width="12.85546875" style="134"/>
    <col min="5" max="5" width="17.140625" style="134" customWidth="1"/>
    <col min="6" max="6" width="16.28515625" style="134" bestFit="1" customWidth="1"/>
    <col min="7" max="8" width="16.28515625" style="134" customWidth="1"/>
    <col min="9" max="10" width="14.28515625" style="134" bestFit="1" customWidth="1"/>
    <col min="11" max="11" width="12.85546875" style="134"/>
    <col min="12" max="12" width="17.140625" style="134" bestFit="1" customWidth="1"/>
    <col min="13" max="13" width="16.5703125" style="134" bestFit="1" customWidth="1"/>
    <col min="14" max="14" width="15.42578125" style="151" bestFit="1" customWidth="1"/>
    <col min="15" max="15" width="17.140625" style="352" customWidth="1"/>
    <col min="16" max="17" width="12.85546875" style="352"/>
    <col min="18" max="18" width="13" style="352" bestFit="1" customWidth="1"/>
    <col min="19" max="19" width="16.5703125" style="352" bestFit="1" customWidth="1"/>
    <col min="20" max="20" width="14.28515625" style="352" bestFit="1" customWidth="1"/>
    <col min="21" max="21" width="18.85546875" style="134" customWidth="1"/>
    <col min="22" max="16384" width="12.85546875" style="134"/>
  </cols>
  <sheetData>
    <row r="1" spans="1:24" ht="15.75" customHeight="1" thickBot="1" x14ac:dyDescent="0.3">
      <c r="N1" s="137"/>
    </row>
    <row r="2" spans="1:24" ht="31.5" customHeight="1" thickBot="1" x14ac:dyDescent="0.3">
      <c r="A2" s="372" t="s">
        <v>31</v>
      </c>
      <c r="B2" s="373"/>
      <c r="C2" s="373"/>
      <c r="D2" s="373"/>
      <c r="E2" s="373"/>
      <c r="F2" s="373"/>
      <c r="G2" s="373"/>
      <c r="H2" s="373"/>
      <c r="I2" s="373"/>
      <c r="J2" s="373"/>
      <c r="K2" s="373"/>
      <c r="L2" s="373"/>
      <c r="M2" s="374"/>
      <c r="N2" s="137"/>
      <c r="O2" s="441"/>
      <c r="P2" s="441"/>
      <c r="Q2" s="441"/>
      <c r="R2" s="441"/>
      <c r="S2" s="441"/>
      <c r="T2" s="441"/>
    </row>
    <row r="3" spans="1:24" ht="60.75" customHeight="1" thickBot="1" x14ac:dyDescent="0.3">
      <c r="A3" s="385" t="s">
        <v>32</v>
      </c>
      <c r="B3" s="375" t="s">
        <v>33</v>
      </c>
      <c r="C3" s="375" t="s">
        <v>34</v>
      </c>
      <c r="D3" s="375" t="s">
        <v>35</v>
      </c>
      <c r="E3" s="375" t="s">
        <v>36</v>
      </c>
      <c r="F3" s="375" t="s">
        <v>37</v>
      </c>
      <c r="G3" s="379" t="s">
        <v>321</v>
      </c>
      <c r="H3" s="380"/>
      <c r="I3" s="375" t="s">
        <v>38</v>
      </c>
      <c r="J3" s="379" t="s">
        <v>39</v>
      </c>
      <c r="K3" s="380"/>
      <c r="L3" s="377" t="s">
        <v>40</v>
      </c>
      <c r="M3" s="375" t="s">
        <v>41</v>
      </c>
      <c r="N3" s="137"/>
      <c r="O3" s="442"/>
      <c r="P3" s="442"/>
      <c r="Q3" s="442"/>
      <c r="R3" s="442"/>
      <c r="S3" s="442"/>
      <c r="T3" s="443"/>
    </row>
    <row r="4" spans="1:24" ht="54" customHeight="1" x14ac:dyDescent="0.25">
      <c r="A4" s="386"/>
      <c r="B4" s="376"/>
      <c r="C4" s="376"/>
      <c r="D4" s="376"/>
      <c r="E4" s="376"/>
      <c r="F4" s="376"/>
      <c r="G4" s="248" t="s">
        <v>320</v>
      </c>
      <c r="H4" s="248" t="s">
        <v>322</v>
      </c>
      <c r="I4" s="376"/>
      <c r="J4" s="138" t="s">
        <v>42</v>
      </c>
      <c r="K4" s="138" t="s">
        <v>43</v>
      </c>
      <c r="L4" s="378"/>
      <c r="M4" s="376"/>
      <c r="N4" s="137"/>
      <c r="O4" s="444"/>
      <c r="P4" s="444"/>
      <c r="Q4" s="444"/>
      <c r="R4" s="444"/>
      <c r="S4" s="444"/>
      <c r="T4" s="229"/>
    </row>
    <row r="5" spans="1:24" ht="15.75" thickBot="1" x14ac:dyDescent="0.3">
      <c r="A5" s="387"/>
      <c r="B5" s="139"/>
      <c r="C5" s="140"/>
      <c r="D5" s="139"/>
      <c r="E5" s="139"/>
      <c r="F5" s="139" t="s">
        <v>44</v>
      </c>
      <c r="G5" s="139"/>
      <c r="H5" s="139"/>
      <c r="I5" s="139" t="s">
        <v>45</v>
      </c>
      <c r="J5" s="139" t="s">
        <v>46</v>
      </c>
      <c r="K5" s="139" t="s">
        <v>47</v>
      </c>
      <c r="L5" s="139" t="s">
        <v>48</v>
      </c>
      <c r="M5" s="139" t="s">
        <v>49</v>
      </c>
      <c r="N5" s="137"/>
      <c r="O5" s="445"/>
      <c r="P5" s="445"/>
      <c r="Q5" s="445"/>
      <c r="R5" s="446"/>
      <c r="S5" s="156"/>
      <c r="T5" s="229"/>
      <c r="U5" s="226"/>
    </row>
    <row r="6" spans="1:24" ht="15.75" thickBot="1" x14ac:dyDescent="0.3">
      <c r="A6" s="141"/>
      <c r="B6" s="139"/>
      <c r="C6" s="140"/>
      <c r="D6" s="139"/>
      <c r="E6" s="139"/>
      <c r="F6" s="139"/>
      <c r="G6" s="139"/>
      <c r="H6" s="139"/>
      <c r="I6" s="139"/>
      <c r="J6" s="139"/>
      <c r="K6" s="139"/>
      <c r="L6" s="139"/>
      <c r="M6" s="139"/>
      <c r="N6" s="137"/>
      <c r="O6" s="445"/>
      <c r="P6" s="445"/>
      <c r="Q6" s="445"/>
      <c r="R6" s="446"/>
      <c r="S6" s="156"/>
      <c r="T6" s="229"/>
    </row>
    <row r="7" spans="1:24" ht="47.25" customHeight="1" thickBot="1" x14ac:dyDescent="0.3">
      <c r="A7" s="223" t="s">
        <v>50</v>
      </c>
      <c r="B7" s="223" t="s">
        <v>51</v>
      </c>
      <c r="C7" s="211" t="s">
        <v>52</v>
      </c>
      <c r="D7" s="139" t="s">
        <v>53</v>
      </c>
      <c r="E7" s="215" t="s">
        <v>54</v>
      </c>
      <c r="F7" s="224">
        <v>13901013</v>
      </c>
      <c r="G7" s="264">
        <v>10481012</v>
      </c>
      <c r="H7" s="251">
        <v>3420001</v>
      </c>
      <c r="I7" s="142">
        <f>+J7+K7</f>
        <v>5957577</v>
      </c>
      <c r="J7" s="142">
        <v>5957577</v>
      </c>
      <c r="K7" s="249"/>
      <c r="L7" s="142">
        <f>+F7+I7</f>
        <v>19858590</v>
      </c>
      <c r="M7" s="144">
        <f>+F7/L7</f>
        <v>0.7</v>
      </c>
      <c r="N7" s="137"/>
      <c r="O7" s="445"/>
      <c r="P7" s="445"/>
      <c r="Q7" s="445"/>
      <c r="R7" s="446"/>
      <c r="S7" s="156"/>
      <c r="T7" s="229"/>
      <c r="U7" s="145"/>
    </row>
    <row r="8" spans="1:24" ht="56.25" customHeight="1" thickBot="1" x14ac:dyDescent="0.3">
      <c r="A8" s="223" t="s">
        <v>55</v>
      </c>
      <c r="B8" s="223" t="s">
        <v>56</v>
      </c>
      <c r="C8" s="211" t="s">
        <v>57</v>
      </c>
      <c r="D8" s="139" t="s">
        <v>58</v>
      </c>
      <c r="E8" s="215" t="s">
        <v>59</v>
      </c>
      <c r="F8" s="224">
        <v>86378487</v>
      </c>
      <c r="G8" s="264">
        <v>60841773</v>
      </c>
      <c r="H8" s="251">
        <v>25536714</v>
      </c>
      <c r="I8" s="142">
        <f>+J8+K8</f>
        <v>15243262</v>
      </c>
      <c r="J8" s="142">
        <v>15243262</v>
      </c>
      <c r="K8" s="249"/>
      <c r="L8" s="142">
        <f>+F8+I8</f>
        <v>101621749</v>
      </c>
      <c r="M8" s="144">
        <f>+F8/L8</f>
        <v>0.85000000344414461</v>
      </c>
      <c r="N8" s="137"/>
      <c r="O8" s="445"/>
      <c r="P8" s="445"/>
      <c r="Q8" s="445"/>
      <c r="R8" s="446"/>
      <c r="S8" s="156"/>
      <c r="T8" s="228"/>
      <c r="U8" s="225"/>
    </row>
    <row r="9" spans="1:24" ht="32.25" customHeight="1" thickBot="1" x14ac:dyDescent="0.3">
      <c r="A9" s="388" t="s">
        <v>60</v>
      </c>
      <c r="B9" s="389"/>
      <c r="C9" s="146"/>
      <c r="D9" s="147"/>
      <c r="E9" s="215" t="s">
        <v>61</v>
      </c>
      <c r="F9" s="148"/>
      <c r="G9" s="265"/>
      <c r="H9" s="148"/>
      <c r="I9" s="149">
        <f t="shared" ref="I9:I16" si="0">+J9+K9</f>
        <v>0</v>
      </c>
      <c r="J9" s="148"/>
      <c r="K9" s="250"/>
      <c r="L9" s="142">
        <f t="shared" ref="L9:L16" si="1">+F9+I9</f>
        <v>0</v>
      </c>
      <c r="M9" s="144">
        <v>0</v>
      </c>
      <c r="N9" s="137"/>
      <c r="O9" s="445"/>
      <c r="P9" s="445"/>
      <c r="Q9" s="445"/>
      <c r="R9" s="446"/>
      <c r="S9" s="156"/>
      <c r="T9" s="230"/>
      <c r="U9" s="145"/>
      <c r="V9" s="145"/>
      <c r="W9" s="145"/>
      <c r="X9" s="145"/>
    </row>
    <row r="10" spans="1:24" ht="32.25" customHeight="1" thickBot="1" x14ac:dyDescent="0.3">
      <c r="A10" s="390"/>
      <c r="B10" s="391"/>
      <c r="C10" s="146"/>
      <c r="D10" s="147"/>
      <c r="E10" s="215" t="s">
        <v>62</v>
      </c>
      <c r="F10" s="142">
        <f t="shared" ref="F10:H11" si="2">+F7</f>
        <v>13901013</v>
      </c>
      <c r="G10" s="264">
        <f t="shared" si="2"/>
        <v>10481012</v>
      </c>
      <c r="H10" s="251">
        <f t="shared" si="2"/>
        <v>3420001</v>
      </c>
      <c r="I10" s="142">
        <f>+J10+K10</f>
        <v>5957577</v>
      </c>
      <c r="J10" s="142">
        <f>+J7</f>
        <v>5957577</v>
      </c>
      <c r="K10" s="250"/>
      <c r="L10" s="142">
        <f t="shared" si="1"/>
        <v>19858590</v>
      </c>
      <c r="M10" s="144">
        <f t="shared" ref="M10:M11" si="3">+F10/L10</f>
        <v>0.7</v>
      </c>
      <c r="N10" s="137"/>
      <c r="O10" s="445"/>
      <c r="P10" s="445"/>
      <c r="Q10" s="445"/>
      <c r="R10" s="446"/>
      <c r="S10" s="156"/>
      <c r="T10" s="231"/>
      <c r="U10" s="131"/>
      <c r="V10" s="137"/>
      <c r="W10" s="145"/>
      <c r="X10" s="145"/>
    </row>
    <row r="11" spans="1:24" ht="32.25" customHeight="1" thickBot="1" x14ac:dyDescent="0.3">
      <c r="A11" s="390"/>
      <c r="B11" s="391"/>
      <c r="C11" s="146"/>
      <c r="D11" s="147"/>
      <c r="E11" s="215" t="s">
        <v>63</v>
      </c>
      <c r="F11" s="142">
        <f t="shared" si="2"/>
        <v>86378487</v>
      </c>
      <c r="G11" s="264">
        <f t="shared" si="2"/>
        <v>60841773</v>
      </c>
      <c r="H11" s="251">
        <f t="shared" si="2"/>
        <v>25536714</v>
      </c>
      <c r="I11" s="142">
        <f>+J11+K11</f>
        <v>15243262</v>
      </c>
      <c r="J11" s="142">
        <f>+J8</f>
        <v>15243262</v>
      </c>
      <c r="K11" s="249"/>
      <c r="L11" s="142">
        <f t="shared" si="1"/>
        <v>101621749</v>
      </c>
      <c r="M11" s="150">
        <f t="shared" si="3"/>
        <v>0.85000000344414461</v>
      </c>
      <c r="N11" s="137"/>
      <c r="O11" s="445"/>
      <c r="P11" s="445"/>
      <c r="Q11" s="445"/>
      <c r="R11" s="446"/>
      <c r="S11" s="156"/>
      <c r="T11" s="232"/>
      <c r="U11" s="131"/>
      <c r="V11" s="137"/>
      <c r="W11" s="145"/>
      <c r="X11" s="145"/>
    </row>
    <row r="12" spans="1:24" ht="15.75" thickBot="1" x14ac:dyDescent="0.3">
      <c r="A12" s="392"/>
      <c r="B12" s="393"/>
      <c r="C12" s="146"/>
      <c r="D12" s="147"/>
      <c r="E12" s="215" t="s">
        <v>64</v>
      </c>
      <c r="F12" s="148"/>
      <c r="G12" s="148"/>
      <c r="H12" s="148"/>
      <c r="I12" s="149">
        <f t="shared" si="0"/>
        <v>0</v>
      </c>
      <c r="J12" s="148"/>
      <c r="K12" s="250"/>
      <c r="L12" s="142">
        <f t="shared" si="1"/>
        <v>0</v>
      </c>
      <c r="M12" s="150"/>
      <c r="N12" s="137"/>
      <c r="O12" s="445"/>
      <c r="P12" s="445"/>
      <c r="Q12" s="445"/>
      <c r="R12" s="446"/>
      <c r="S12" s="156"/>
      <c r="T12" s="228"/>
      <c r="U12" s="131"/>
      <c r="V12" s="137"/>
      <c r="W12" s="145"/>
      <c r="X12" s="145"/>
    </row>
    <row r="13" spans="1:24" ht="32.25" customHeight="1" thickBot="1" x14ac:dyDescent="0.3">
      <c r="A13" s="394" t="s">
        <v>65</v>
      </c>
      <c r="B13" s="395"/>
      <c r="C13" s="146"/>
      <c r="D13" s="147"/>
      <c r="E13" s="212" t="s">
        <v>66</v>
      </c>
      <c r="F13" s="142"/>
      <c r="G13" s="142"/>
      <c r="H13" s="142"/>
      <c r="I13" s="142">
        <f t="shared" si="0"/>
        <v>0</v>
      </c>
      <c r="J13" s="142"/>
      <c r="K13" s="139"/>
      <c r="L13" s="142">
        <f t="shared" si="1"/>
        <v>0</v>
      </c>
      <c r="M13" s="150"/>
      <c r="N13" s="137"/>
      <c r="S13" s="447"/>
      <c r="T13" s="353"/>
      <c r="U13" s="131"/>
      <c r="V13" s="137"/>
      <c r="W13" s="145"/>
      <c r="X13" s="145"/>
    </row>
    <row r="14" spans="1:24" ht="32.25" customHeight="1" thickBot="1" x14ac:dyDescent="0.3">
      <c r="A14" s="390"/>
      <c r="B14" s="391"/>
      <c r="C14" s="146"/>
      <c r="D14" s="147"/>
      <c r="E14" s="212" t="s">
        <v>67</v>
      </c>
      <c r="F14" s="142"/>
      <c r="G14" s="142"/>
      <c r="H14" s="142"/>
      <c r="I14" s="142">
        <f t="shared" si="0"/>
        <v>0</v>
      </c>
      <c r="J14" s="142"/>
      <c r="K14" s="139"/>
      <c r="L14" s="142">
        <f>+F14+I14</f>
        <v>0</v>
      </c>
      <c r="M14" s="150"/>
      <c r="N14" s="137"/>
      <c r="Q14" s="354"/>
      <c r="S14" s="447"/>
      <c r="T14" s="353"/>
      <c r="U14" s="137"/>
      <c r="V14" s="233"/>
      <c r="W14" s="145"/>
      <c r="X14" s="145"/>
    </row>
    <row r="15" spans="1:24" ht="32.25" customHeight="1" thickBot="1" x14ac:dyDescent="0.3">
      <c r="A15" s="390"/>
      <c r="B15" s="391"/>
      <c r="C15" s="146"/>
      <c r="D15" s="147"/>
      <c r="E15" s="212" t="s">
        <v>68</v>
      </c>
      <c r="F15" s="142"/>
      <c r="G15" s="142"/>
      <c r="H15" s="142"/>
      <c r="I15" s="142">
        <f t="shared" si="0"/>
        <v>0</v>
      </c>
      <c r="J15" s="142"/>
      <c r="K15" s="143"/>
      <c r="L15" s="142">
        <f>+F15+I15</f>
        <v>0</v>
      </c>
      <c r="M15" s="150"/>
      <c r="N15" s="137"/>
      <c r="O15" s="355"/>
      <c r="P15" s="145"/>
      <c r="Q15" s="354"/>
      <c r="R15" s="145"/>
      <c r="S15" s="447"/>
      <c r="T15" s="356"/>
    </row>
    <row r="16" spans="1:24" ht="68.25" thickBot="1" x14ac:dyDescent="0.3">
      <c r="A16" s="392"/>
      <c r="B16" s="393"/>
      <c r="C16" s="146"/>
      <c r="D16" s="147"/>
      <c r="E16" s="212" t="s">
        <v>69</v>
      </c>
      <c r="F16" s="139"/>
      <c r="G16" s="139"/>
      <c r="H16" s="139"/>
      <c r="I16" s="149">
        <f t="shared" si="0"/>
        <v>0</v>
      </c>
      <c r="J16" s="148"/>
      <c r="K16" s="139"/>
      <c r="L16" s="149">
        <f t="shared" si="1"/>
        <v>0</v>
      </c>
      <c r="M16" s="150"/>
      <c r="N16" s="137"/>
      <c r="O16" s="355"/>
      <c r="P16" s="357"/>
      <c r="Q16" s="357"/>
      <c r="R16" s="358"/>
      <c r="S16" s="137"/>
      <c r="T16" s="145"/>
    </row>
    <row r="17" spans="1:20" ht="15.75" thickBot="1" x14ac:dyDescent="0.3">
      <c r="A17" s="383" t="s">
        <v>70</v>
      </c>
      <c r="B17" s="384"/>
      <c r="C17" s="146"/>
      <c r="D17" s="147" t="s">
        <v>71</v>
      </c>
      <c r="E17" s="210"/>
      <c r="F17" s="139"/>
      <c r="G17" s="139"/>
      <c r="H17" s="139"/>
      <c r="I17" s="148"/>
      <c r="J17" s="148"/>
      <c r="K17" s="139"/>
      <c r="L17" s="148"/>
      <c r="M17" s="144"/>
      <c r="O17" s="355"/>
      <c r="P17" s="357"/>
      <c r="Q17" s="357"/>
      <c r="R17" s="358"/>
      <c r="S17" s="137"/>
      <c r="T17" s="145"/>
    </row>
    <row r="18" spans="1:20" ht="15.75" thickBot="1" x14ac:dyDescent="0.3">
      <c r="A18" s="381" t="s">
        <v>72</v>
      </c>
      <c r="B18" s="382"/>
      <c r="C18" s="146"/>
      <c r="D18" s="152"/>
      <c r="E18" s="210"/>
      <c r="F18" s="153">
        <f>+F10+F11</f>
        <v>100279500</v>
      </c>
      <c r="G18" s="153">
        <f t="shared" ref="G18" si="4">+G10+G11</f>
        <v>71322785</v>
      </c>
      <c r="H18" s="153">
        <f>+H10+H11</f>
        <v>28956715</v>
      </c>
      <c r="I18" s="153">
        <f t="shared" ref="I18:L18" si="5">+I10+I11</f>
        <v>21200839</v>
      </c>
      <c r="J18" s="153">
        <f t="shared" si="5"/>
        <v>21200839</v>
      </c>
      <c r="K18" s="153"/>
      <c r="L18" s="153">
        <f t="shared" si="5"/>
        <v>121480339</v>
      </c>
      <c r="M18" s="154">
        <f>+F18/L18</f>
        <v>0.82547925718251414</v>
      </c>
      <c r="N18" s="313">
        <f>+L18*1.95583</f>
        <v>237594891.42636999</v>
      </c>
      <c r="O18" s="355"/>
      <c r="P18" s="357"/>
      <c r="Q18" s="357"/>
      <c r="R18" s="358"/>
      <c r="S18" s="145"/>
      <c r="T18" s="145"/>
    </row>
    <row r="19" spans="1:20" x14ac:dyDescent="0.25">
      <c r="P19" s="357"/>
      <c r="Q19" s="357"/>
      <c r="R19" s="358"/>
      <c r="S19" s="145"/>
      <c r="T19" s="145"/>
    </row>
    <row r="20" spans="1:20" ht="107.25" customHeight="1" x14ac:dyDescent="0.25">
      <c r="G20" s="371" t="s">
        <v>323</v>
      </c>
      <c r="H20" s="371"/>
      <c r="I20" s="371"/>
      <c r="P20" s="355"/>
      <c r="Q20" s="355"/>
      <c r="R20" s="359"/>
      <c r="S20" s="145"/>
      <c r="T20" s="145"/>
    </row>
    <row r="21" spans="1:20" x14ac:dyDescent="0.25">
      <c r="E21" s="155"/>
      <c r="F21" s="155"/>
      <c r="G21" s="155"/>
      <c r="H21" s="155"/>
      <c r="I21" s="155"/>
      <c r="J21" s="155"/>
      <c r="K21" s="155"/>
      <c r="L21" s="156"/>
      <c r="M21" s="145"/>
      <c r="P21" s="145"/>
      <c r="Q21" s="145"/>
      <c r="R21" s="145"/>
      <c r="S21" s="145"/>
      <c r="T21" s="145"/>
    </row>
    <row r="22" spans="1:20" x14ac:dyDescent="0.25">
      <c r="E22" s="155"/>
      <c r="F22" s="155"/>
      <c r="G22" s="155"/>
      <c r="H22" s="155"/>
      <c r="I22" s="155"/>
      <c r="J22" s="155"/>
      <c r="K22" s="155"/>
      <c r="L22" s="157"/>
      <c r="M22" s="145"/>
      <c r="P22" s="145"/>
      <c r="Q22" s="145"/>
      <c r="R22" s="145"/>
      <c r="S22" s="145"/>
      <c r="T22" s="145"/>
    </row>
    <row r="23" spans="1:20" x14ac:dyDescent="0.25">
      <c r="E23" s="158"/>
      <c r="F23" s="158"/>
      <c r="G23" s="158"/>
      <c r="H23" s="158"/>
      <c r="I23" s="158"/>
      <c r="J23" s="158"/>
      <c r="K23" s="158"/>
      <c r="L23" s="159"/>
      <c r="M23" s="145"/>
      <c r="P23" s="145"/>
      <c r="Q23" s="145"/>
      <c r="R23" s="145"/>
      <c r="S23" s="145"/>
      <c r="T23" s="145"/>
    </row>
    <row r="24" spans="1:20" ht="15.75" customHeight="1" x14ac:dyDescent="0.25">
      <c r="E24" s="242"/>
      <c r="F24" s="242"/>
      <c r="G24" s="242"/>
      <c r="H24" s="440"/>
      <c r="I24" s="243"/>
      <c r="J24" s="243"/>
      <c r="K24" s="245"/>
      <c r="L24" s="247"/>
      <c r="M24" s="245"/>
      <c r="N24" s="243"/>
      <c r="P24" s="145"/>
      <c r="Q24" s="145"/>
      <c r="R24" s="145"/>
      <c r="S24" s="145"/>
      <c r="T24" s="145"/>
    </row>
    <row r="25" spans="1:20" ht="15.75" x14ac:dyDescent="0.25">
      <c r="E25" s="242"/>
      <c r="F25" s="242"/>
      <c r="G25" s="242"/>
      <c r="H25" s="137"/>
      <c r="I25" s="151"/>
      <c r="J25" s="151"/>
      <c r="K25" s="162"/>
      <c r="L25" s="161"/>
      <c r="M25" s="162"/>
      <c r="N25" s="243"/>
      <c r="P25" s="145"/>
      <c r="Q25" s="145"/>
      <c r="R25" s="145"/>
      <c r="S25" s="145"/>
      <c r="T25" s="145"/>
    </row>
    <row r="26" spans="1:20" ht="15.75" x14ac:dyDescent="0.25">
      <c r="E26" s="244"/>
      <c r="F26" s="242"/>
      <c r="G26" s="242"/>
      <c r="H26" s="137"/>
      <c r="I26" s="151"/>
      <c r="J26" s="151"/>
      <c r="K26" s="145"/>
      <c r="L26" s="145"/>
      <c r="M26" s="145"/>
      <c r="N26" s="243"/>
      <c r="P26" s="145"/>
      <c r="Q26" s="145"/>
      <c r="R26" s="145"/>
      <c r="S26" s="145"/>
      <c r="T26" s="145"/>
    </row>
    <row r="27" spans="1:20" ht="15.75" x14ac:dyDescent="0.25">
      <c r="E27" s="245"/>
      <c r="F27" s="242"/>
      <c r="G27" s="242"/>
      <c r="H27" s="137"/>
      <c r="I27" s="151"/>
      <c r="J27" s="151"/>
      <c r="K27" s="145"/>
      <c r="L27" s="145"/>
      <c r="M27" s="145"/>
      <c r="N27" s="243"/>
      <c r="P27" s="145"/>
      <c r="Q27" s="145"/>
      <c r="R27" s="145"/>
      <c r="S27" s="145"/>
      <c r="T27" s="145"/>
    </row>
    <row r="28" spans="1:20" ht="15.75" x14ac:dyDescent="0.25">
      <c r="E28" s="245"/>
      <c r="F28" s="145"/>
      <c r="G28" s="145"/>
      <c r="H28" s="145"/>
      <c r="I28" s="145"/>
      <c r="J28" s="145"/>
      <c r="K28" s="145"/>
      <c r="L28" s="145"/>
      <c r="M28" s="145"/>
      <c r="N28" s="243"/>
      <c r="P28" s="355"/>
      <c r="Q28" s="355"/>
    </row>
    <row r="29" spans="1:20" ht="15.75" x14ac:dyDescent="0.25">
      <c r="L29" s="246"/>
      <c r="M29" s="242"/>
      <c r="N29" s="243"/>
    </row>
    <row r="30" spans="1:20" x14ac:dyDescent="0.25">
      <c r="L30" s="163"/>
      <c r="M30" s="145"/>
    </row>
    <row r="31" spans="1:20" x14ac:dyDescent="0.25">
      <c r="L31" s="145"/>
      <c r="M31" s="145"/>
    </row>
    <row r="32" spans="1:20" x14ac:dyDescent="0.25">
      <c r="L32" s="145"/>
    </row>
    <row r="33" spans="6:12" x14ac:dyDescent="0.25">
      <c r="L33" s="145"/>
    </row>
    <row r="34" spans="6:12" x14ac:dyDescent="0.25">
      <c r="F34" s="145"/>
      <c r="G34" s="145"/>
      <c r="H34" s="145"/>
      <c r="I34" s="164"/>
      <c r="J34" s="160"/>
      <c r="K34" s="160"/>
      <c r="L34" s="145"/>
    </row>
    <row r="35" spans="6:12" x14ac:dyDescent="0.25">
      <c r="F35" s="145"/>
      <c r="G35" s="145"/>
      <c r="H35" s="145"/>
      <c r="I35" s="162"/>
      <c r="J35" s="165"/>
      <c r="K35" s="165"/>
      <c r="L35" s="145"/>
    </row>
    <row r="36" spans="6:12" x14ac:dyDescent="0.25">
      <c r="F36" s="145"/>
      <c r="G36" s="145"/>
      <c r="H36" s="145"/>
      <c r="I36" s="162"/>
      <c r="J36" s="165"/>
      <c r="K36" s="165"/>
      <c r="L36" s="145"/>
    </row>
    <row r="37" spans="6:12" x14ac:dyDescent="0.25">
      <c r="F37" s="145"/>
      <c r="G37" s="145"/>
      <c r="H37" s="145"/>
      <c r="I37" s="162"/>
      <c r="J37" s="165"/>
      <c r="K37" s="162"/>
      <c r="L37" s="145"/>
    </row>
    <row r="38" spans="6:12" x14ac:dyDescent="0.25">
      <c r="F38" s="145"/>
      <c r="G38" s="145"/>
      <c r="H38" s="145"/>
      <c r="I38" s="162"/>
      <c r="J38" s="166"/>
      <c r="K38" s="165"/>
      <c r="L38" s="145"/>
    </row>
    <row r="39" spans="6:12" x14ac:dyDescent="0.25">
      <c r="F39" s="145"/>
      <c r="G39" s="145"/>
      <c r="H39" s="145"/>
      <c r="I39" s="145"/>
      <c r="J39" s="145"/>
      <c r="K39" s="145"/>
      <c r="L39" s="145"/>
    </row>
    <row r="40" spans="6:12" x14ac:dyDescent="0.25">
      <c r="F40" s="145"/>
      <c r="G40" s="145"/>
      <c r="H40" s="145"/>
      <c r="I40" s="145"/>
      <c r="J40" s="158"/>
      <c r="K40" s="158"/>
      <c r="L40" s="145"/>
    </row>
    <row r="41" spans="6:12" x14ac:dyDescent="0.25">
      <c r="F41" s="145"/>
      <c r="G41" s="145"/>
      <c r="H41" s="145"/>
      <c r="I41" s="145"/>
      <c r="J41" s="145"/>
      <c r="K41" s="145"/>
      <c r="L41" s="145"/>
    </row>
    <row r="42" spans="6:12" x14ac:dyDescent="0.25">
      <c r="F42" s="145"/>
      <c r="G42" s="145"/>
      <c r="H42" s="145"/>
      <c r="I42" s="145"/>
      <c r="J42" s="145"/>
      <c r="K42" s="145"/>
      <c r="L42" s="145"/>
    </row>
    <row r="43" spans="6:12" x14ac:dyDescent="0.25">
      <c r="F43" s="145"/>
      <c r="G43" s="145"/>
      <c r="H43" s="145"/>
      <c r="I43" s="145"/>
      <c r="J43" s="145"/>
      <c r="K43" s="145"/>
      <c r="L43" s="145"/>
    </row>
    <row r="44" spans="6:12" x14ac:dyDescent="0.25">
      <c r="F44" s="145"/>
      <c r="G44" s="145"/>
      <c r="H44" s="145"/>
      <c r="I44" s="145"/>
      <c r="J44" s="145"/>
      <c r="K44" s="145"/>
      <c r="L44" s="145"/>
    </row>
  </sheetData>
  <customSheetViews>
    <customSheetView guid="{B426F9F8-EB1A-4D7B-9478-7E22D414CC12}" scale="80" showPageBreaks="1" printArea="1" topLeftCell="A4">
      <selection activeCell="C13" sqref="C13"/>
      <pageMargins left="0.7" right="0.7" top="0.75" bottom="0.75" header="0.3" footer="0.3"/>
      <pageSetup paperSize="9" orientation="portrait" horizontalDpi="300" verticalDpi="300" r:id="rId1"/>
    </customSheetView>
    <customSheetView guid="{56BC42A3-D967-4F27-BD5A-CB0B8CB7F657}" showPageBreaks="1" printArea="1">
      <selection activeCell="K11" sqref="K11"/>
      <pageMargins left="0.7" right="0.7" top="0.75" bottom="0.75" header="0.3" footer="0.3"/>
      <pageSetup paperSize="9" orientation="portrait" horizontalDpi="300" verticalDpi="300" r:id="rId2"/>
    </customSheetView>
    <customSheetView guid="{D1BD168D-40B4-46AB-88B7-64C22520CFA0}" scale="85" showPageBreaks="1" printArea="1">
      <selection activeCell="F19" sqref="F19"/>
      <pageMargins left="0.7" right="0.7" top="0.75" bottom="0.75" header="0.3" footer="0.3"/>
      <pageSetup paperSize="9" orientation="portrait" horizontalDpi="300" verticalDpi="300" r:id="rId3"/>
    </customSheetView>
    <customSheetView guid="{AD504361-49F3-4986-BDBF-FB73E2299976}" topLeftCell="A4">
      <selection activeCell="M16" sqref="M16:Q16"/>
      <pageMargins left="0.7" right="0.7" top="0.75" bottom="0.75" header="0.3" footer="0.3"/>
      <pageSetup paperSize="9" orientation="portrait" horizontalDpi="300" verticalDpi="300" r:id="rId4"/>
    </customSheetView>
    <customSheetView guid="{2A6315F5-C9A2-43A7-B337-00FD30A3EB26}" showPageBreaks="1" printArea="1">
      <selection activeCell="C24" sqref="C24"/>
      <pageMargins left="0.7" right="0.7" top="0.75" bottom="0.75" header="0.3" footer="0.3"/>
      <pageSetup paperSize="9" orientation="portrait" horizontalDpi="300" verticalDpi="300" r:id="rId5"/>
    </customSheetView>
    <customSheetView guid="{E07B67F4-8A17-4050-B9B8-81977BCB02E2}" showPageBreaks="1" printArea="1" topLeftCell="G10">
      <selection activeCell="G27" sqref="G27"/>
      <pageMargins left="0.7" right="0.7" top="0.75" bottom="0.75" header="0.3" footer="0.3"/>
      <pageSetup paperSize="9" orientation="portrait" horizontalDpi="300" verticalDpi="300" r:id="rId6"/>
    </customSheetView>
    <customSheetView guid="{9CD5F6CE-0E1C-42DA-A598-93523B740CBC}" showPageBreaks="1" printArea="1">
      <selection activeCell="D9" sqref="D9"/>
      <pageMargins left="0.7" right="0.7" top="0.75" bottom="0.75" header="0.3" footer="0.3"/>
      <pageSetup paperSize="9" orientation="portrait" horizontalDpi="300" verticalDpi="300" r:id="rId7"/>
    </customSheetView>
    <customSheetView guid="{72B67681-E295-44ED-80A6-F4B618B242B1}">
      <selection activeCell="C24" sqref="C24"/>
    </customSheetView>
    <customSheetView guid="{77799D3C-38E2-410A-80FA-AECD8E6AB89B}" showPageBreaks="1" printArea="1">
      <selection activeCell="K11" sqref="K11"/>
      <pageMargins left="0.7" right="0.7" top="0.75" bottom="0.75" header="0.3" footer="0.3"/>
      <pageSetup paperSize="9" orientation="portrait" horizontalDpi="300" verticalDpi="300" r:id="rId8"/>
    </customSheetView>
    <customSheetView guid="{13EBDE9D-EC74-4522-9EED-363E735B4A78}" showPageBreaks="1" printArea="1" topLeftCell="B10">
      <selection activeCell="N18" sqref="N18"/>
      <pageMargins left="0.7" right="0.7" top="0.75" bottom="0.75" header="0.3" footer="0.3"/>
      <pageSetup paperSize="9" orientation="portrait" horizontalDpi="300" verticalDpi="300" r:id="rId9"/>
    </customSheetView>
    <customSheetView guid="{32A281B9-28FB-4D0E-8C01-BFBADAC8C3C9}" showPageBreaks="1" printArea="1" topLeftCell="E4">
      <selection activeCell="F27" sqref="F27:M27"/>
      <pageMargins left="0.7" right="0.7" top="0.75" bottom="0.75" header="0.3" footer="0.3"/>
      <pageSetup paperSize="9" orientation="portrait" horizontalDpi="300" verticalDpi="300" r:id="rId10"/>
    </customSheetView>
  </customSheetViews>
  <mergeCells count="17">
    <mergeCell ref="G20:I20"/>
    <mergeCell ref="A18:B18"/>
    <mergeCell ref="D3:D4"/>
    <mergeCell ref="E3:E4"/>
    <mergeCell ref="F3:F4"/>
    <mergeCell ref="I3:I4"/>
    <mergeCell ref="A17:B17"/>
    <mergeCell ref="A3:A5"/>
    <mergeCell ref="A9:B12"/>
    <mergeCell ref="A13:B16"/>
    <mergeCell ref="G3:H3"/>
    <mergeCell ref="A2:M2"/>
    <mergeCell ref="B3:B4"/>
    <mergeCell ref="C3:C4"/>
    <mergeCell ref="L3:L4"/>
    <mergeCell ref="M3:M4"/>
    <mergeCell ref="J3:K3"/>
  </mergeCells>
  <pageMargins left="0.7" right="0.7" top="0.75" bottom="0.75" header="0.3" footer="0.3"/>
  <pageSetup paperSize="9" orientation="portrait" horizontalDpi="300" verticalDpi="3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view="pageBreakPreview" zoomScale="80" zoomScaleNormal="85" zoomScaleSheetLayoutView="80" workbookViewId="0">
      <selection activeCell="A24" sqref="A24"/>
    </sheetView>
  </sheetViews>
  <sheetFormatPr defaultColWidth="9.140625" defaultRowHeight="15.75" x14ac:dyDescent="0.25"/>
  <cols>
    <col min="1" max="1" width="125.28515625" style="43" bestFit="1" customWidth="1"/>
    <col min="2" max="4" width="26.5703125" style="43" customWidth="1"/>
    <col min="5" max="5" width="23.7109375" style="43" customWidth="1"/>
    <col min="6" max="7" width="18.140625" style="43" customWidth="1"/>
    <col min="8" max="8" width="42.140625" style="43" customWidth="1"/>
    <col min="9" max="9" width="16.7109375" style="43" bestFit="1" customWidth="1"/>
    <col min="10" max="10" width="9.140625" style="43"/>
    <col min="11" max="11" width="15" style="43" bestFit="1" customWidth="1"/>
    <col min="12" max="12" width="18.42578125" style="43" bestFit="1" customWidth="1"/>
    <col min="13" max="13" width="15" style="43" bestFit="1" customWidth="1"/>
    <col min="14" max="14" width="16.140625" style="43" bestFit="1" customWidth="1"/>
    <col min="15" max="15" width="13.7109375" style="43" bestFit="1" customWidth="1"/>
    <col min="16" max="16" width="21" style="43" customWidth="1"/>
    <col min="17" max="17" width="21.5703125" style="43" customWidth="1"/>
    <col min="18" max="18" width="22.140625" style="43" customWidth="1"/>
    <col min="19" max="19" width="14.85546875" style="43" customWidth="1"/>
    <col min="20" max="20" width="19.85546875" style="43" customWidth="1"/>
    <col min="21" max="16384" width="9.140625" style="43"/>
  </cols>
  <sheetData>
    <row r="1" spans="1:19" ht="16.5" thickBot="1" x14ac:dyDescent="0.3">
      <c r="A1" s="399" t="s">
        <v>109</v>
      </c>
      <c r="B1" s="400"/>
      <c r="C1" s="400"/>
      <c r="D1" s="400"/>
      <c r="E1" s="400"/>
      <c r="F1" s="400"/>
      <c r="G1" s="400"/>
      <c r="H1" s="401"/>
      <c r="K1" s="402" t="s">
        <v>110</v>
      </c>
      <c r="L1" s="403"/>
      <c r="M1" s="403"/>
      <c r="N1" s="403"/>
      <c r="O1" s="404"/>
    </row>
    <row r="2" spans="1:19" ht="78.75" x14ac:dyDescent="0.25">
      <c r="A2" s="44" t="s">
        <v>111</v>
      </c>
      <c r="B2" s="45" t="s">
        <v>112</v>
      </c>
      <c r="C2" s="45" t="s">
        <v>113</v>
      </c>
      <c r="D2" s="45" t="s">
        <v>114</v>
      </c>
      <c r="E2" s="45" t="s">
        <v>115</v>
      </c>
      <c r="F2" s="45" t="s">
        <v>116</v>
      </c>
      <c r="G2" s="45" t="s">
        <v>117</v>
      </c>
      <c r="H2" s="45" t="s">
        <v>118</v>
      </c>
      <c r="I2" s="46" t="s">
        <v>119</v>
      </c>
      <c r="J2" s="46" t="s">
        <v>120</v>
      </c>
      <c r="K2" s="47" t="s">
        <v>121</v>
      </c>
      <c r="L2" s="47" t="s">
        <v>122</v>
      </c>
      <c r="M2" s="47" t="s">
        <v>123</v>
      </c>
      <c r="N2" s="48" t="s">
        <v>124</v>
      </c>
      <c r="O2" s="47" t="s">
        <v>125</v>
      </c>
      <c r="P2" s="43">
        <v>1.95583</v>
      </c>
    </row>
    <row r="3" spans="1:19" ht="17.25" customHeight="1" x14ac:dyDescent="0.25">
      <c r="A3" s="405" t="s">
        <v>126</v>
      </c>
      <c r="B3" s="405"/>
      <c r="C3" s="405"/>
      <c r="D3" s="405"/>
      <c r="E3" s="405"/>
      <c r="F3" s="405"/>
      <c r="G3" s="405"/>
      <c r="H3" s="405"/>
      <c r="K3" s="49">
        <v>428871428.57142854</v>
      </c>
      <c r="L3" s="49">
        <f>K3*0.2</f>
        <v>85774285.714285716</v>
      </c>
      <c r="M3" s="49">
        <f>K3-L3</f>
        <v>343097142.85714281</v>
      </c>
      <c r="N3" s="49">
        <f>M3*0.7</f>
        <v>240167999.99999994</v>
      </c>
      <c r="O3" s="50">
        <f>0.3*M3</f>
        <v>102929142.85714284</v>
      </c>
    </row>
    <row r="4" spans="1:19" x14ac:dyDescent="0.25">
      <c r="A4" s="51" t="s">
        <v>127</v>
      </c>
      <c r="B4" s="52">
        <f>0.2*C4</f>
        <v>10507349.999999998</v>
      </c>
      <c r="C4" s="52">
        <f>70/100*D4</f>
        <v>52536749.999999985</v>
      </c>
      <c r="D4" s="52">
        <f>J4*N4</f>
        <v>75052499.999999985</v>
      </c>
      <c r="E4" s="52">
        <f>70/100*F4</f>
        <v>42029399.999999985</v>
      </c>
      <c r="F4" s="52">
        <f>J4*$N$3</f>
        <v>60041999.999999985</v>
      </c>
      <c r="G4" s="52">
        <f>F4*$P$2</f>
        <v>117431944.85999997</v>
      </c>
      <c r="H4" s="53" t="s">
        <v>128</v>
      </c>
      <c r="I4" s="54">
        <f>F4/$F$8</f>
        <v>0.13999999999999999</v>
      </c>
      <c r="J4" s="54">
        <v>0.25</v>
      </c>
      <c r="N4" s="43">
        <f>70/100*K3</f>
        <v>300209999.99999994</v>
      </c>
      <c r="O4" s="43">
        <f>30/100*K3</f>
        <v>128661428.57142855</v>
      </c>
      <c r="P4" s="55"/>
      <c r="Q4" s="56"/>
      <c r="R4" s="56"/>
      <c r="S4" s="56"/>
    </row>
    <row r="5" spans="1:19" ht="31.5" x14ac:dyDescent="0.25">
      <c r="A5" s="57" t="s">
        <v>129</v>
      </c>
      <c r="B5" s="52">
        <f>0.2*C5</f>
        <v>31522049.999999989</v>
      </c>
      <c r="C5" s="52">
        <f>70/100*D5</f>
        <v>157610249.99999994</v>
      </c>
      <c r="D5" s="52">
        <f>J5*N4</f>
        <v>225157499.99999994</v>
      </c>
      <c r="E5" s="52">
        <f>70/100*F5</f>
        <v>126088199.99999996</v>
      </c>
      <c r="F5" s="52">
        <f>J5*$N$3</f>
        <v>180125999.99999994</v>
      </c>
      <c r="G5" s="52">
        <f>F5*$P$2</f>
        <v>352295834.57999986</v>
      </c>
      <c r="H5" s="53" t="s">
        <v>130</v>
      </c>
      <c r="I5" s="54">
        <f>F5/$F$8</f>
        <v>0.41999999999999987</v>
      </c>
      <c r="J5" s="54">
        <v>0.75</v>
      </c>
      <c r="P5" s="56"/>
      <c r="Q5" s="56"/>
      <c r="R5" s="56"/>
      <c r="S5" s="56"/>
    </row>
    <row r="6" spans="1:19" ht="47.25" x14ac:dyDescent="0.25">
      <c r="A6" s="58" t="s">
        <v>131</v>
      </c>
      <c r="B6" s="52">
        <f>0.2*C6</f>
        <v>18012599.999999996</v>
      </c>
      <c r="C6" s="52">
        <f>70/100*D6</f>
        <v>90062999.999999985</v>
      </c>
      <c r="D6" s="52">
        <f>O4</f>
        <v>128661428.57142855</v>
      </c>
      <c r="E6" s="52">
        <f>70/100*F6</f>
        <v>72050399.999999985</v>
      </c>
      <c r="F6" s="52">
        <f>O3</f>
        <v>102929142.85714284</v>
      </c>
      <c r="G6" s="52">
        <f>F6*$P$2</f>
        <v>201311905.47428566</v>
      </c>
      <c r="H6" s="53" t="s">
        <v>132</v>
      </c>
      <c r="I6" s="54">
        <f>F6/$F$8</f>
        <v>0.23999999999999996</v>
      </c>
    </row>
    <row r="7" spans="1:19" ht="31.5" x14ac:dyDescent="0.25">
      <c r="A7" s="59" t="s">
        <v>133</v>
      </c>
      <c r="B7" s="86">
        <f>E7-B4-B5-B6</f>
        <v>0</v>
      </c>
      <c r="C7" s="59"/>
      <c r="D7" s="59">
        <f>D4/70*100*1.95583-120000000</f>
        <v>89699901.535714239</v>
      </c>
      <c r="E7" s="52">
        <f>70/100*F7</f>
        <v>60042000</v>
      </c>
      <c r="F7" s="60">
        <f>L3</f>
        <v>85774285.714285716</v>
      </c>
      <c r="G7" s="52">
        <f>F7*$P$2</f>
        <v>167759921.22857141</v>
      </c>
      <c r="H7" s="61" t="s">
        <v>134</v>
      </c>
      <c r="I7" s="54">
        <f>F7/$F$8</f>
        <v>0.2</v>
      </c>
    </row>
    <row r="8" spans="1:19" x14ac:dyDescent="0.25">
      <c r="A8" s="62" t="s">
        <v>135</v>
      </c>
      <c r="B8" s="62"/>
      <c r="C8" s="62"/>
      <c r="D8" s="62"/>
      <c r="E8" s="50">
        <f>SUM(E4:E7)</f>
        <v>300209999.99999994</v>
      </c>
      <c r="F8" s="63">
        <f>SUM(F4:F7)</f>
        <v>428871428.57142854</v>
      </c>
      <c r="G8" s="63">
        <f>SUM(G4:G7)</f>
        <v>838799606.14285684</v>
      </c>
      <c r="H8" s="64"/>
    </row>
    <row r="9" spans="1:19" ht="51.75" customHeight="1" thickBot="1" x14ac:dyDescent="0.3">
      <c r="A9" s="406" t="s">
        <v>136</v>
      </c>
      <c r="B9" s="407"/>
      <c r="C9" s="407"/>
      <c r="D9" s="407"/>
      <c r="E9" s="407"/>
      <c r="F9" s="407"/>
      <c r="G9" s="407"/>
      <c r="H9" s="408"/>
      <c r="I9" s="46" t="s">
        <v>137</v>
      </c>
      <c r="J9" s="46"/>
      <c r="K9" s="65" t="s">
        <v>138</v>
      </c>
      <c r="L9" s="65" t="s">
        <v>139</v>
      </c>
      <c r="M9" s="65" t="s">
        <v>140</v>
      </c>
      <c r="N9" s="66" t="s">
        <v>141</v>
      </c>
      <c r="O9" s="65"/>
    </row>
    <row r="10" spans="1:19" ht="31.5" x14ac:dyDescent="0.25">
      <c r="A10" s="67" t="s">
        <v>142</v>
      </c>
      <c r="B10" s="67"/>
      <c r="C10" s="67"/>
      <c r="D10" s="67"/>
      <c r="E10" s="67"/>
      <c r="F10" s="68">
        <f>I10*K10</f>
        <v>106490914.2857143</v>
      </c>
      <c r="G10" s="68">
        <f t="shared" ref="G10:G15" si="0">F10*$P$2</f>
        <v>208278124.88742858</v>
      </c>
      <c r="H10" s="53" t="s">
        <v>143</v>
      </c>
      <c r="I10" s="54">
        <v>0.17</v>
      </c>
      <c r="K10" s="49">
        <v>626417142.85714293</v>
      </c>
      <c r="L10" s="49">
        <f>F16</f>
        <v>93962571.428571433</v>
      </c>
      <c r="M10" s="69">
        <f>I10+I11+I12</f>
        <v>0.55000000000000004</v>
      </c>
      <c r="N10" s="69">
        <f>I16+I15+I14+I13</f>
        <v>0.45</v>
      </c>
      <c r="O10" s="50"/>
    </row>
    <row r="11" spans="1:19" ht="31.5" x14ac:dyDescent="0.25">
      <c r="A11" s="70" t="s">
        <v>144</v>
      </c>
      <c r="B11" s="70"/>
      <c r="C11" s="70"/>
      <c r="D11" s="70"/>
      <c r="E11" s="70"/>
      <c r="F11" s="71">
        <f>I11*K10</f>
        <v>175396800.00000003</v>
      </c>
      <c r="G11" s="68">
        <f t="shared" si="0"/>
        <v>343046323.34400004</v>
      </c>
      <c r="H11" s="53" t="s">
        <v>145</v>
      </c>
      <c r="I11" s="54">
        <v>0.28000000000000003</v>
      </c>
    </row>
    <row r="12" spans="1:19" x14ac:dyDescent="0.25">
      <c r="A12" s="70" t="s">
        <v>146</v>
      </c>
      <c r="B12" s="70"/>
      <c r="C12" s="70"/>
      <c r="D12" s="70"/>
      <c r="E12" s="70"/>
      <c r="F12" s="71">
        <f>I12*K10</f>
        <v>62641714.285714298</v>
      </c>
      <c r="G12" s="68">
        <f t="shared" si="0"/>
        <v>122516544.0514286</v>
      </c>
      <c r="H12" s="53" t="s">
        <v>147</v>
      </c>
      <c r="I12" s="54">
        <v>0.1</v>
      </c>
    </row>
    <row r="13" spans="1:19" ht="31.5" x14ac:dyDescent="0.25">
      <c r="A13" s="70" t="s">
        <v>148</v>
      </c>
      <c r="B13" s="70"/>
      <c r="C13" s="70"/>
      <c r="D13" s="70"/>
      <c r="E13" s="70"/>
      <c r="F13" s="71">
        <f>I13*K10</f>
        <v>31320857.142857149</v>
      </c>
      <c r="G13" s="68">
        <f t="shared" si="0"/>
        <v>61258272.025714301</v>
      </c>
      <c r="H13" s="53" t="s">
        <v>149</v>
      </c>
      <c r="I13" s="54">
        <v>0.05</v>
      </c>
    </row>
    <row r="14" spans="1:19" x14ac:dyDescent="0.25">
      <c r="A14" s="58" t="s">
        <v>150</v>
      </c>
      <c r="B14" s="58"/>
      <c r="C14" s="58"/>
      <c r="D14" s="58"/>
      <c r="E14" s="58"/>
      <c r="F14" s="71">
        <f>I14*K10</f>
        <v>62641714.285714298</v>
      </c>
      <c r="G14" s="68">
        <f t="shared" si="0"/>
        <v>122516544.0514286</v>
      </c>
      <c r="H14" s="53" t="s">
        <v>151</v>
      </c>
      <c r="I14" s="54">
        <v>0.1</v>
      </c>
    </row>
    <row r="15" spans="1:19" ht="31.5" x14ac:dyDescent="0.25">
      <c r="A15" s="70" t="s">
        <v>152</v>
      </c>
      <c r="B15" s="70"/>
      <c r="C15" s="70"/>
      <c r="D15" s="70"/>
      <c r="E15" s="70"/>
      <c r="F15" s="71">
        <f>I15*K10</f>
        <v>93962571.428571433</v>
      </c>
      <c r="G15" s="68">
        <f t="shared" si="0"/>
        <v>183774816.07714286</v>
      </c>
      <c r="H15" s="53" t="s">
        <v>153</v>
      </c>
      <c r="I15" s="54">
        <v>0.15</v>
      </c>
    </row>
    <row r="16" spans="1:19" ht="31.5" x14ac:dyDescent="0.25">
      <c r="A16" s="70" t="s">
        <v>154</v>
      </c>
      <c r="B16" s="70"/>
      <c r="C16" s="70"/>
      <c r="D16" s="70"/>
      <c r="E16" s="70"/>
      <c r="F16" s="71">
        <f>I16*K10</f>
        <v>93962571.428571433</v>
      </c>
      <c r="G16" s="68">
        <f>F16*$P$2</f>
        <v>183774816.07714286</v>
      </c>
      <c r="H16" s="53" t="s">
        <v>155</v>
      </c>
      <c r="I16" s="54">
        <v>0.15</v>
      </c>
    </row>
    <row r="17" spans="1:15" x14ac:dyDescent="0.25">
      <c r="A17" s="62" t="s">
        <v>156</v>
      </c>
      <c r="B17" s="62"/>
      <c r="C17" s="62"/>
      <c r="D17" s="62"/>
      <c r="E17" s="62"/>
      <c r="F17" s="63">
        <f>SUM(F10:F16)</f>
        <v>626417142.85714304</v>
      </c>
      <c r="G17" s="63">
        <f>F17*$P$2</f>
        <v>1225165440.514286</v>
      </c>
      <c r="H17" s="72"/>
    </row>
    <row r="18" spans="1:15" ht="47.25" x14ac:dyDescent="0.25">
      <c r="A18" s="396" t="s">
        <v>157</v>
      </c>
      <c r="B18" s="397"/>
      <c r="C18" s="397"/>
      <c r="D18" s="397"/>
      <c r="E18" s="397"/>
      <c r="F18" s="397"/>
      <c r="G18" s="397"/>
      <c r="H18" s="398"/>
      <c r="I18" s="46" t="s">
        <v>158</v>
      </c>
      <c r="J18" s="46"/>
      <c r="K18" s="65" t="s">
        <v>159</v>
      </c>
      <c r="L18" s="65" t="s">
        <v>160</v>
      </c>
      <c r="M18" s="65" t="s">
        <v>161</v>
      </c>
      <c r="N18" s="66" t="s">
        <v>162</v>
      </c>
      <c r="O18" s="65"/>
    </row>
    <row r="19" spans="1:15" ht="31.5" x14ac:dyDescent="0.25">
      <c r="A19" s="70" t="s">
        <v>163</v>
      </c>
      <c r="B19" s="70"/>
      <c r="C19" s="70"/>
      <c r="D19" s="70"/>
      <c r="E19" s="70"/>
      <c r="F19" s="71">
        <f>I19*K19</f>
        <v>146164000</v>
      </c>
      <c r="G19" s="71">
        <f t="shared" ref="G19:G30" si="1">F19*$P$2</f>
        <v>285871936.12</v>
      </c>
      <c r="H19" s="53" t="s">
        <v>164</v>
      </c>
      <c r="I19" s="54">
        <v>0.35</v>
      </c>
      <c r="K19" s="49">
        <v>417611428.5714286</v>
      </c>
      <c r="L19" s="49">
        <f>F25</f>
        <v>57820285.714285731</v>
      </c>
      <c r="M19" s="69">
        <f>I19+I20+I21+I22</f>
        <v>0.75</v>
      </c>
      <c r="N19" s="69">
        <f>I23+I24+I25</f>
        <v>0.25</v>
      </c>
      <c r="O19" s="50"/>
    </row>
    <row r="20" spans="1:15" ht="47.25" x14ac:dyDescent="0.25">
      <c r="A20" s="70" t="s">
        <v>165</v>
      </c>
      <c r="B20" s="70"/>
      <c r="C20" s="70"/>
      <c r="D20" s="70"/>
      <c r="E20" s="70"/>
      <c r="F20" s="71">
        <f>I20*K19</f>
        <v>83522285.714285731</v>
      </c>
      <c r="G20" s="71">
        <f t="shared" si="1"/>
        <v>163355392.06857145</v>
      </c>
      <c r="H20" s="53" t="s">
        <v>166</v>
      </c>
      <c r="I20" s="54">
        <v>0.2</v>
      </c>
    </row>
    <row r="21" spans="1:15" ht="47.25" x14ac:dyDescent="0.25">
      <c r="A21" s="70" t="s">
        <v>167</v>
      </c>
      <c r="B21" s="70"/>
      <c r="C21" s="70"/>
      <c r="D21" s="70"/>
      <c r="E21" s="70"/>
      <c r="F21" s="71">
        <f>I21*K19</f>
        <v>41761142.857142866</v>
      </c>
      <c r="G21" s="71">
        <f t="shared" si="1"/>
        <v>81677696.034285724</v>
      </c>
      <c r="H21" s="53" t="s">
        <v>168</v>
      </c>
      <c r="I21" s="54">
        <v>0.1</v>
      </c>
    </row>
    <row r="22" spans="1:15" x14ac:dyDescent="0.25">
      <c r="A22" s="70" t="s">
        <v>169</v>
      </c>
      <c r="B22" s="70"/>
      <c r="C22" s="70"/>
      <c r="D22" s="70"/>
      <c r="E22" s="70"/>
      <c r="F22" s="71">
        <f>I22*K19</f>
        <v>41761142.857142866</v>
      </c>
      <c r="G22" s="71">
        <f t="shared" si="1"/>
        <v>81677696.034285724</v>
      </c>
      <c r="H22" s="53" t="s">
        <v>170</v>
      </c>
      <c r="I22" s="54">
        <v>0.1</v>
      </c>
    </row>
    <row r="23" spans="1:15" x14ac:dyDescent="0.25">
      <c r="A23" s="70" t="s">
        <v>171</v>
      </c>
      <c r="B23" s="70"/>
      <c r="C23" s="70"/>
      <c r="D23" s="70"/>
      <c r="E23" s="70"/>
      <c r="F23" s="71">
        <f>I23*K19</f>
        <v>20880571.428571433</v>
      </c>
      <c r="G23" s="71">
        <f>F23*$P$2</f>
        <v>40838848.017142862</v>
      </c>
      <c r="H23" s="53" t="s">
        <v>172</v>
      </c>
      <c r="I23" s="54">
        <v>0.05</v>
      </c>
    </row>
    <row r="24" spans="1:15" x14ac:dyDescent="0.25">
      <c r="A24" s="70" t="s">
        <v>173</v>
      </c>
      <c r="B24" s="70"/>
      <c r="C24" s="70"/>
      <c r="D24" s="70"/>
      <c r="E24" s="70"/>
      <c r="F24" s="71">
        <f>I24*K19</f>
        <v>25701999.999999989</v>
      </c>
      <c r="G24" s="71">
        <f>F24*$P$2</f>
        <v>50268742.659999974</v>
      </c>
      <c r="H24" s="53" t="s">
        <v>174</v>
      </c>
      <c r="I24" s="54">
        <f>20%-I25</f>
        <v>6.1545250540488733E-2</v>
      </c>
    </row>
    <row r="25" spans="1:15" ht="47.25" x14ac:dyDescent="0.25">
      <c r="A25" s="70" t="s">
        <v>175</v>
      </c>
      <c r="B25" s="70"/>
      <c r="C25" s="70"/>
      <c r="D25" s="70"/>
      <c r="E25" s="70"/>
      <c r="F25" s="71">
        <f>F33-F16</f>
        <v>57820285.714285731</v>
      </c>
      <c r="G25" s="71">
        <f t="shared" si="1"/>
        <v>113086649.40857147</v>
      </c>
      <c r="H25" s="53" t="s">
        <v>176</v>
      </c>
      <c r="I25" s="73">
        <f>F25/K19</f>
        <v>0.13845474945951128</v>
      </c>
      <c r="K25" s="65" t="s">
        <v>177</v>
      </c>
      <c r="L25" s="65" t="s">
        <v>178</v>
      </c>
      <c r="M25" s="65" t="s">
        <v>179</v>
      </c>
      <c r="N25" s="66" t="s">
        <v>180</v>
      </c>
      <c r="O25" s="65"/>
    </row>
    <row r="26" spans="1:15" x14ac:dyDescent="0.25">
      <c r="A26" s="62" t="s">
        <v>181</v>
      </c>
      <c r="B26" s="62"/>
      <c r="C26" s="62"/>
      <c r="D26" s="62"/>
      <c r="E26" s="62"/>
      <c r="F26" s="63">
        <f>SUM(F19:F25)</f>
        <v>417611428.57142866</v>
      </c>
      <c r="G26" s="63">
        <f t="shared" si="1"/>
        <v>816776960.34285724</v>
      </c>
      <c r="H26" s="72"/>
      <c r="I26" s="54"/>
      <c r="K26" s="49">
        <f>K10+K19</f>
        <v>1044028571.4285715</v>
      </c>
      <c r="L26" s="49">
        <f>L19+L10</f>
        <v>151782857.14285716</v>
      </c>
      <c r="M26" s="69">
        <f>(F10+F11+F12+F19+F20+F21+F22)/K26</f>
        <v>0.63000000000000023</v>
      </c>
      <c r="N26" s="69">
        <f>(F13+F14+F15+F16+F23+F24+F25)/K26</f>
        <v>0.37</v>
      </c>
      <c r="O26" s="50"/>
    </row>
    <row r="27" spans="1:15" ht="15.75" customHeight="1" x14ac:dyDescent="0.25">
      <c r="A27" s="396" t="s">
        <v>182</v>
      </c>
      <c r="B27" s="397"/>
      <c r="C27" s="397"/>
      <c r="D27" s="397"/>
      <c r="E27" s="397"/>
      <c r="F27" s="397"/>
      <c r="G27" s="397"/>
      <c r="H27" s="398"/>
      <c r="I27" s="54"/>
    </row>
    <row r="28" spans="1:15" x14ac:dyDescent="0.25">
      <c r="A28" s="62" t="s">
        <v>183</v>
      </c>
      <c r="B28" s="62"/>
      <c r="C28" s="62"/>
      <c r="D28" s="62"/>
      <c r="E28" s="62"/>
      <c r="F28" s="63">
        <v>44928571.428571425</v>
      </c>
      <c r="G28" s="63">
        <f>F28*1.95583</f>
        <v>87872647.857142851</v>
      </c>
      <c r="H28" s="72"/>
      <c r="I28" s="54"/>
    </row>
    <row r="29" spans="1:15" ht="31.5" x14ac:dyDescent="0.25">
      <c r="A29" s="74" t="s">
        <v>184</v>
      </c>
      <c r="B29" s="74"/>
      <c r="C29" s="74"/>
      <c r="D29" s="74"/>
      <c r="E29" s="74"/>
      <c r="F29" s="75">
        <f>F26+F17+F28</f>
        <v>1088957142.8571432</v>
      </c>
      <c r="G29" s="75">
        <f t="shared" si="1"/>
        <v>2129815048.7142863</v>
      </c>
      <c r="H29" s="75"/>
      <c r="I29" s="54"/>
      <c r="K29" s="65" t="s">
        <v>185</v>
      </c>
      <c r="L29" s="65" t="s">
        <v>186</v>
      </c>
    </row>
    <row r="30" spans="1:15" ht="30" customHeight="1" x14ac:dyDescent="0.25">
      <c r="A30" s="74" t="s">
        <v>187</v>
      </c>
      <c r="B30" s="74"/>
      <c r="C30" s="74"/>
      <c r="D30" s="74"/>
      <c r="E30" s="74"/>
      <c r="F30" s="75">
        <f>F29+F8</f>
        <v>1517828571.4285717</v>
      </c>
      <c r="G30" s="75">
        <f t="shared" si="1"/>
        <v>2968614654.8571434</v>
      </c>
      <c r="H30" s="75"/>
      <c r="I30" s="54"/>
      <c r="K30" s="49">
        <v>1517828571.4285715</v>
      </c>
      <c r="L30" s="76">
        <f>L26/K30</f>
        <v>0.1</v>
      </c>
    </row>
    <row r="32" spans="1:15" x14ac:dyDescent="0.25">
      <c r="L32" s="77"/>
    </row>
    <row r="33" spans="6:7" x14ac:dyDescent="0.25">
      <c r="F33" s="77">
        <v>151782857.14285716</v>
      </c>
      <c r="G33" s="77">
        <f>F33*1.95583</f>
        <v>296861465.48571432</v>
      </c>
    </row>
  </sheetData>
  <customSheetViews>
    <customSheetView guid="{B426F9F8-EB1A-4D7B-9478-7E22D414CC12}" scale="80" showPageBreaks="1" fitToPage="1" printArea="1" state="hidden" view="pageBreakPreview">
      <selection activeCell="A24" sqref="A24"/>
      <pageMargins left="0.7" right="0.7" top="0.75" bottom="0.75" header="0.3" footer="0.3"/>
      <pageSetup paperSize="9" scale="31" orientation="landscape" r:id="rId1"/>
    </customSheetView>
    <customSheetView guid="{56BC42A3-D967-4F27-BD5A-CB0B8CB7F657}" scale="80" showPageBreaks="1" fitToPage="1" printArea="1" state="hidden" view="pageBreakPreview">
      <selection activeCell="A24" sqref="A24"/>
      <pageMargins left="0.7" right="0.7" top="0.75" bottom="0.75" header="0.3" footer="0.3"/>
      <pageSetup paperSize="9" scale="31" orientation="landscape" r:id="rId2"/>
    </customSheetView>
    <customSheetView guid="{D1BD168D-40B4-46AB-88B7-64C22520CFA0}" scale="80" showPageBreaks="1" fitToPage="1" printArea="1" state="hidden" view="pageBreakPreview">
      <selection activeCell="A24" sqref="A24"/>
      <pageMargins left="0.7" right="0.7" top="0.75" bottom="0.75" header="0.3" footer="0.3"/>
      <pageSetup paperSize="9" scale="31" orientation="landscape" r:id="rId3"/>
    </customSheetView>
    <customSheetView guid="{AD504361-49F3-4986-BDBF-FB73E2299976}" scale="80" showPageBreaks="1" fitToPage="1" printArea="1" state="hidden" view="pageBreakPreview">
      <selection activeCell="A24" sqref="A24"/>
      <pageMargins left="0.7" right="0.7" top="0.75" bottom="0.75" header="0.3" footer="0.3"/>
      <pageSetup paperSize="9" scale="31" orientation="landscape" r:id="rId4"/>
    </customSheetView>
    <customSheetView guid="{2A6315F5-C9A2-43A7-B337-00FD30A3EB26}" scale="80" showPageBreaks="1" fitToPage="1" printArea="1" state="hidden" view="pageBreakPreview">
      <selection activeCell="A24" sqref="A24"/>
      <pageMargins left="0.7" right="0.7" top="0.75" bottom="0.75" header="0.3" footer="0.3"/>
      <pageSetup paperSize="9" scale="31" orientation="landscape" r:id="rId5"/>
    </customSheetView>
    <customSheetView guid="{E07B67F4-8A17-4050-B9B8-81977BCB02E2}" scale="80" showPageBreaks="1" fitToPage="1" printArea="1" state="hidden" view="pageBreakPreview">
      <selection activeCell="A24" sqref="A24"/>
      <pageMargins left="0.7" right="0.7" top="0.75" bottom="0.75" header="0.3" footer="0.3"/>
      <pageSetup paperSize="9" scale="31" orientation="landscape" r:id="rId6"/>
    </customSheetView>
    <customSheetView guid="{9CD5F6CE-0E1C-42DA-A598-93523B740CBC}" scale="80" showPageBreaks="1" fitToPage="1" printArea="1" state="hidden" view="pageBreakPreview">
      <selection activeCell="A24" sqref="A24"/>
      <pageMargins left="0.7" right="0.7" top="0.75" bottom="0.75" header="0.3" footer="0.3"/>
      <pageSetup paperSize="9" scale="31" orientation="landscape" r:id="rId7"/>
    </customSheetView>
    <customSheetView guid="{72B67681-E295-44ED-80A6-F4B618B242B1}" scale="80" showPageBreaks="1" state="hidden" view="pageBreakPreview">
      <selection activeCell="A24" sqref="A24"/>
    </customSheetView>
    <customSheetView guid="{77799D3C-38E2-410A-80FA-AECD8E6AB89B}" scale="80" showPageBreaks="1" fitToPage="1" printArea="1" state="hidden" view="pageBreakPreview">
      <selection activeCell="A24" sqref="A24"/>
      <pageMargins left="0.7" right="0.7" top="0.75" bottom="0.75" header="0.3" footer="0.3"/>
      <pageSetup paperSize="9" scale="31" orientation="landscape" r:id="rId8"/>
    </customSheetView>
    <customSheetView guid="{13EBDE9D-EC74-4522-9EED-363E735B4A78}" scale="80" showPageBreaks="1" fitToPage="1" printArea="1" state="hidden" view="pageBreakPreview">
      <selection activeCell="A24" sqref="A24"/>
      <pageMargins left="0.7" right="0.7" top="0.75" bottom="0.75" header="0.3" footer="0.3"/>
      <pageSetup paperSize="9" scale="31" orientation="landscape" r:id="rId9"/>
    </customSheetView>
    <customSheetView guid="{32A281B9-28FB-4D0E-8C01-BFBADAC8C3C9}" scale="80" showPageBreaks="1" fitToPage="1" printArea="1" state="hidden" view="pageBreakPreview">
      <selection activeCell="A24" sqref="A24"/>
      <pageMargins left="0.7" right="0.7" top="0.75" bottom="0.75" header="0.3" footer="0.3"/>
      <pageSetup paperSize="9" scale="31" orientation="landscape" r:id="rId10"/>
    </customSheetView>
  </customSheetViews>
  <mergeCells count="6">
    <mergeCell ref="A27:H27"/>
    <mergeCell ref="A1:H1"/>
    <mergeCell ref="K1:O1"/>
    <mergeCell ref="A3:H3"/>
    <mergeCell ref="A9:H9"/>
    <mergeCell ref="A18:H18"/>
  </mergeCells>
  <pageMargins left="0.7" right="0.7" top="0.75" bottom="0.75" header="0.3" footer="0.3"/>
  <pageSetup paperSize="9" scale="31" orientation="landscape" r:id="rId11"/>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T101"/>
  <sheetViews>
    <sheetView tabSelected="1" zoomScale="70" zoomScaleNormal="7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21.42578125" defaultRowHeight="12" x14ac:dyDescent="0.2"/>
  <cols>
    <col min="1" max="1" width="20.7109375" style="282" customWidth="1"/>
    <col min="2" max="2" width="5.85546875" style="283" customWidth="1"/>
    <col min="3" max="3" width="8.7109375" style="284" customWidth="1"/>
    <col min="4" max="4" width="8" style="284" customWidth="1"/>
    <col min="5" max="5" width="52.42578125" style="282" customWidth="1"/>
    <col min="6" max="6" width="59" style="285" customWidth="1"/>
    <col min="7" max="7" width="25.140625" style="286" customWidth="1"/>
    <col min="8" max="8" width="79.85546875" style="282" customWidth="1"/>
    <col min="9" max="9" width="76.5703125" style="282" customWidth="1"/>
    <col min="10" max="10" width="17.5703125" style="282" customWidth="1"/>
    <col min="11" max="11" width="17.28515625" style="282" customWidth="1"/>
    <col min="12" max="12" width="14.28515625" style="282" customWidth="1"/>
    <col min="13" max="13" width="9.7109375" style="282" customWidth="1"/>
    <col min="14" max="14" width="10.85546875" style="454" customWidth="1"/>
    <col min="15" max="15" width="9.5703125" style="454" customWidth="1"/>
    <col min="16" max="19" width="13.42578125" style="454" customWidth="1"/>
    <col min="20" max="20" width="11.7109375" style="454" customWidth="1"/>
    <col min="21" max="16384" width="21.42578125" style="287"/>
  </cols>
  <sheetData>
    <row r="1" spans="1:20" s="449" customFormat="1" ht="107.25" customHeight="1" x14ac:dyDescent="0.25">
      <c r="A1" s="336" t="s">
        <v>342</v>
      </c>
      <c r="B1" s="337" t="s">
        <v>330</v>
      </c>
      <c r="C1" s="337" t="s">
        <v>331</v>
      </c>
      <c r="D1" s="337" t="s">
        <v>328</v>
      </c>
      <c r="E1" s="337" t="s">
        <v>343</v>
      </c>
      <c r="F1" s="337" t="s">
        <v>344</v>
      </c>
      <c r="G1" s="338" t="s">
        <v>341</v>
      </c>
      <c r="H1" s="337" t="s">
        <v>345</v>
      </c>
      <c r="I1" s="337" t="s">
        <v>346</v>
      </c>
      <c r="J1" s="234" t="s">
        <v>347</v>
      </c>
      <c r="K1" s="234" t="s">
        <v>348</v>
      </c>
      <c r="L1" s="234" t="s">
        <v>349</v>
      </c>
      <c r="M1" s="273" t="s">
        <v>350</v>
      </c>
      <c r="N1" s="273" t="s">
        <v>352</v>
      </c>
      <c r="O1" s="273" t="s">
        <v>353</v>
      </c>
      <c r="P1" s="273" t="s">
        <v>354</v>
      </c>
      <c r="Q1" s="273" t="s">
        <v>355</v>
      </c>
      <c r="R1" s="273" t="s">
        <v>356</v>
      </c>
      <c r="S1" s="273" t="s">
        <v>357</v>
      </c>
      <c r="T1" s="459" t="s">
        <v>359</v>
      </c>
    </row>
    <row r="2" spans="1:20" s="450" customFormat="1" ht="11.25" customHeight="1" x14ac:dyDescent="0.25">
      <c r="A2" s="339">
        <v>1</v>
      </c>
      <c r="B2" s="271">
        <v>2</v>
      </c>
      <c r="C2" s="272">
        <v>3</v>
      </c>
      <c r="D2" s="272">
        <v>4</v>
      </c>
      <c r="E2" s="271">
        <v>5</v>
      </c>
      <c r="F2" s="271">
        <v>5</v>
      </c>
      <c r="G2" s="271">
        <v>6</v>
      </c>
      <c r="H2" s="271">
        <v>7</v>
      </c>
      <c r="I2" s="271">
        <v>8</v>
      </c>
      <c r="J2" s="255">
        <v>9</v>
      </c>
      <c r="K2" s="235">
        <v>10</v>
      </c>
      <c r="L2" s="235">
        <v>11</v>
      </c>
      <c r="M2" s="274">
        <v>12</v>
      </c>
      <c r="N2" s="274">
        <v>13</v>
      </c>
      <c r="O2" s="274">
        <v>14</v>
      </c>
      <c r="P2" s="274">
        <v>15</v>
      </c>
      <c r="Q2" s="274">
        <v>16</v>
      </c>
      <c r="R2" s="274">
        <v>17</v>
      </c>
      <c r="S2" s="274">
        <v>18</v>
      </c>
      <c r="T2" s="235">
        <v>19</v>
      </c>
    </row>
    <row r="3" spans="1:20" ht="120" x14ac:dyDescent="0.25">
      <c r="A3" s="305" t="s">
        <v>327</v>
      </c>
      <c r="B3" s="266" t="s">
        <v>329</v>
      </c>
      <c r="C3" s="267">
        <f>'Подробно разпределение '!P3</f>
        <v>23</v>
      </c>
      <c r="D3" s="267">
        <f>'Подробно разпределение '!AD3</f>
        <v>66</v>
      </c>
      <c r="E3" s="236" t="s">
        <v>400</v>
      </c>
      <c r="F3" s="238" t="s">
        <v>469</v>
      </c>
      <c r="G3" s="269" t="s">
        <v>351</v>
      </c>
      <c r="H3" s="236" t="s">
        <v>401</v>
      </c>
      <c r="I3" s="236" t="s">
        <v>405</v>
      </c>
      <c r="J3" s="256">
        <v>181</v>
      </c>
      <c r="K3" s="327">
        <v>3211657.08</v>
      </c>
      <c r="L3" s="327">
        <v>7609464.7400000002</v>
      </c>
      <c r="M3" s="275"/>
      <c r="N3" s="360">
        <v>5</v>
      </c>
      <c r="O3" s="360">
        <v>5</v>
      </c>
      <c r="P3" s="360">
        <v>5</v>
      </c>
      <c r="Q3" s="360">
        <v>5</v>
      </c>
      <c r="R3" s="360">
        <v>5</v>
      </c>
      <c r="S3" s="448">
        <v>10</v>
      </c>
      <c r="T3" s="360"/>
    </row>
    <row r="4" spans="1:20" ht="12" customHeight="1" x14ac:dyDescent="0.25">
      <c r="A4" s="340"/>
      <c r="B4" s="310" t="s">
        <v>329</v>
      </c>
      <c r="C4" s="307">
        <f>ROUND(C3/6,0)</f>
        <v>4</v>
      </c>
      <c r="D4" s="307">
        <f>ROUND(D3/6,0)</f>
        <v>11</v>
      </c>
      <c r="E4" s="341"/>
      <c r="F4" s="341"/>
      <c r="G4" s="342"/>
      <c r="H4" s="343"/>
      <c r="I4" s="343"/>
      <c r="J4" s="257" t="s">
        <v>319</v>
      </c>
      <c r="K4" s="328">
        <v>445208.51</v>
      </c>
      <c r="L4" s="328">
        <v>1243931.6599999999</v>
      </c>
      <c r="M4" s="276">
        <v>0.7</v>
      </c>
      <c r="N4" s="360"/>
      <c r="O4" s="360"/>
      <c r="P4" s="360"/>
      <c r="Q4" s="360"/>
      <c r="R4" s="360"/>
      <c r="S4" s="448"/>
      <c r="T4" s="360"/>
    </row>
    <row r="5" spans="1:20" ht="24" x14ac:dyDescent="0.25">
      <c r="A5" s="340"/>
      <c r="B5" s="310" t="s">
        <v>329</v>
      </c>
      <c r="C5" s="307">
        <f>C3-C4</f>
        <v>19</v>
      </c>
      <c r="D5" s="307">
        <f>D3-D4</f>
        <v>55</v>
      </c>
      <c r="E5" s="341"/>
      <c r="F5" s="341"/>
      <c r="G5" s="342"/>
      <c r="H5" s="343"/>
      <c r="I5" s="343"/>
      <c r="J5" s="257" t="s">
        <v>317</v>
      </c>
      <c r="K5" s="329">
        <v>2766448.57</v>
      </c>
      <c r="L5" s="328">
        <v>6365533.0800000001</v>
      </c>
      <c r="M5" s="276">
        <v>0.85</v>
      </c>
      <c r="N5" s="360"/>
      <c r="O5" s="360"/>
      <c r="P5" s="360"/>
      <c r="Q5" s="360"/>
      <c r="R5" s="360"/>
      <c r="S5" s="448"/>
      <c r="T5" s="360"/>
    </row>
    <row r="6" spans="1:20" ht="144" x14ac:dyDescent="0.25">
      <c r="A6" s="305" t="s">
        <v>334</v>
      </c>
      <c r="B6" s="267" t="s">
        <v>329</v>
      </c>
      <c r="C6" s="267">
        <f>'Подробно разпределение '!P4</f>
        <v>2</v>
      </c>
      <c r="D6" s="267">
        <f>'Подробно разпределение '!AD4</f>
        <v>7</v>
      </c>
      <c r="E6" s="236" t="s">
        <v>402</v>
      </c>
      <c r="F6" s="238" t="s">
        <v>470</v>
      </c>
      <c r="G6" s="269" t="s">
        <v>351</v>
      </c>
      <c r="H6" s="236" t="s">
        <v>487</v>
      </c>
      <c r="I6" s="236" t="s">
        <v>488</v>
      </c>
      <c r="J6" s="256">
        <v>181</v>
      </c>
      <c r="K6" s="327">
        <v>2330854.48</v>
      </c>
      <c r="L6" s="327">
        <v>5522555.5800000001</v>
      </c>
      <c r="M6" s="275"/>
      <c r="N6" s="360">
        <v>5</v>
      </c>
      <c r="O6" s="360"/>
      <c r="P6" s="360"/>
      <c r="Q6" s="360"/>
      <c r="R6" s="360"/>
      <c r="S6" s="448"/>
      <c r="T6" s="360"/>
    </row>
    <row r="7" spans="1:20" ht="12" customHeight="1" x14ac:dyDescent="0.25">
      <c r="A7" s="340"/>
      <c r="B7" s="310" t="s">
        <v>329</v>
      </c>
      <c r="C7" s="308">
        <f>ROUND(C6/6,2)</f>
        <v>0.33</v>
      </c>
      <c r="D7" s="308">
        <f>ROUND(D6/6,2)</f>
        <v>1.17</v>
      </c>
      <c r="E7" s="341"/>
      <c r="F7" s="341"/>
      <c r="G7" s="342"/>
      <c r="H7" s="343"/>
      <c r="I7" s="343"/>
      <c r="J7" s="257" t="s">
        <v>319</v>
      </c>
      <c r="K7" s="329">
        <v>323109.3</v>
      </c>
      <c r="L7" s="328">
        <v>902781.21</v>
      </c>
      <c r="M7" s="276">
        <v>0.7</v>
      </c>
      <c r="N7" s="360"/>
      <c r="O7" s="360"/>
      <c r="P7" s="360"/>
      <c r="Q7" s="360"/>
      <c r="R7" s="360"/>
      <c r="S7" s="448"/>
      <c r="T7" s="360"/>
    </row>
    <row r="8" spans="1:20" ht="24" x14ac:dyDescent="0.25">
      <c r="A8" s="340"/>
      <c r="B8" s="310" t="s">
        <v>329</v>
      </c>
      <c r="C8" s="308">
        <f>C6-C7</f>
        <v>1.67</v>
      </c>
      <c r="D8" s="308">
        <f>D6-D7</f>
        <v>5.83</v>
      </c>
      <c r="E8" s="341"/>
      <c r="F8" s="341"/>
      <c r="G8" s="342"/>
      <c r="H8" s="343"/>
      <c r="I8" s="343"/>
      <c r="J8" s="257" t="s">
        <v>317</v>
      </c>
      <c r="K8" s="328">
        <v>2007745.18</v>
      </c>
      <c r="L8" s="328">
        <v>4619774.37</v>
      </c>
      <c r="M8" s="276">
        <v>0.85</v>
      </c>
      <c r="N8" s="360"/>
      <c r="O8" s="360"/>
      <c r="P8" s="360"/>
      <c r="Q8" s="360"/>
      <c r="R8" s="360"/>
      <c r="S8" s="448"/>
      <c r="T8" s="360"/>
    </row>
    <row r="9" spans="1:20" ht="180" x14ac:dyDescent="0.25">
      <c r="A9" s="305" t="s">
        <v>358</v>
      </c>
      <c r="B9" s="266" t="s">
        <v>329</v>
      </c>
      <c r="C9" s="267">
        <f>'Подробно разпределение '!P5</f>
        <v>25</v>
      </c>
      <c r="D9" s="267">
        <f>'Подробно разпределение '!AD5</f>
        <v>44</v>
      </c>
      <c r="E9" s="236" t="s">
        <v>403</v>
      </c>
      <c r="F9" s="238" t="s">
        <v>471</v>
      </c>
      <c r="G9" s="269" t="s">
        <v>351</v>
      </c>
      <c r="H9" s="236" t="s">
        <v>404</v>
      </c>
      <c r="I9" s="236" t="s">
        <v>406</v>
      </c>
      <c r="J9" s="256">
        <v>180</v>
      </c>
      <c r="K9" s="327">
        <v>5395249.5099999998</v>
      </c>
      <c r="L9" s="327">
        <v>12783108.4</v>
      </c>
      <c r="M9" s="275"/>
      <c r="N9" s="360">
        <v>10</v>
      </c>
      <c r="O9" s="360">
        <v>10</v>
      </c>
      <c r="P9" s="360">
        <v>10</v>
      </c>
      <c r="Q9" s="360">
        <v>10</v>
      </c>
      <c r="R9" s="360">
        <v>10</v>
      </c>
      <c r="S9" s="448"/>
      <c r="T9" s="360"/>
    </row>
    <row r="10" spans="1:20" ht="12" customHeight="1" x14ac:dyDescent="0.25">
      <c r="A10" s="340"/>
      <c r="B10" s="310" t="s">
        <v>329</v>
      </c>
      <c r="C10" s="307">
        <f>ROUND(C9/6,0)</f>
        <v>4</v>
      </c>
      <c r="D10" s="307">
        <f>ROUND(D9/6,0)</f>
        <v>7</v>
      </c>
      <c r="E10" s="341"/>
      <c r="F10" s="341"/>
      <c r="G10" s="342"/>
      <c r="H10" s="343"/>
      <c r="I10" s="343"/>
      <c r="J10" s="257" t="s">
        <v>319</v>
      </c>
      <c r="K10" s="329">
        <v>747903.95</v>
      </c>
      <c r="L10" s="328">
        <v>2089675.67</v>
      </c>
      <c r="M10" s="276">
        <v>0.7</v>
      </c>
      <c r="N10" s="360"/>
      <c r="O10" s="360"/>
      <c r="P10" s="360"/>
      <c r="Q10" s="360"/>
      <c r="R10" s="360"/>
      <c r="S10" s="448"/>
      <c r="T10" s="360"/>
    </row>
    <row r="11" spans="1:20" ht="24" x14ac:dyDescent="0.25">
      <c r="A11" s="340"/>
      <c r="B11" s="310" t="s">
        <v>329</v>
      </c>
      <c r="C11" s="307">
        <f>C9-C10</f>
        <v>21</v>
      </c>
      <c r="D11" s="307">
        <f>D9-D10</f>
        <v>37</v>
      </c>
      <c r="E11" s="341"/>
      <c r="F11" s="341"/>
      <c r="G11" s="342"/>
      <c r="H11" s="343"/>
      <c r="I11" s="343"/>
      <c r="J11" s="257" t="s">
        <v>317</v>
      </c>
      <c r="K11" s="328">
        <v>4647345.5599999996</v>
      </c>
      <c r="L11" s="328">
        <v>10693432.73</v>
      </c>
      <c r="M11" s="276">
        <v>0.85</v>
      </c>
      <c r="N11" s="360"/>
      <c r="O11" s="360"/>
      <c r="P11" s="360"/>
      <c r="Q11" s="360"/>
      <c r="R11" s="360"/>
      <c r="S11" s="448"/>
      <c r="T11" s="360"/>
    </row>
    <row r="12" spans="1:20" s="451" customFormat="1" ht="96" x14ac:dyDescent="0.25">
      <c r="A12" s="280" t="s">
        <v>459</v>
      </c>
      <c r="B12" s="266" t="s">
        <v>329</v>
      </c>
      <c r="C12" s="267">
        <f>'Подробно разпределение '!P6</f>
        <v>493</v>
      </c>
      <c r="D12" s="267">
        <f>'Подробно разпределение '!AD6</f>
        <v>1719</v>
      </c>
      <c r="E12" s="236" t="s">
        <v>407</v>
      </c>
      <c r="F12" s="238" t="s">
        <v>472</v>
      </c>
      <c r="G12" s="269" t="s">
        <v>351</v>
      </c>
      <c r="H12" s="344" t="s">
        <v>408</v>
      </c>
      <c r="I12" s="236" t="s">
        <v>414</v>
      </c>
      <c r="J12" s="256">
        <v>180</v>
      </c>
      <c r="K12" s="327">
        <v>6051307.5800000001</v>
      </c>
      <c r="L12" s="327">
        <v>14337524.34</v>
      </c>
      <c r="M12" s="277"/>
      <c r="N12" s="360"/>
      <c r="O12" s="360">
        <v>15</v>
      </c>
      <c r="P12" s="360">
        <v>15</v>
      </c>
      <c r="Q12" s="360">
        <v>15</v>
      </c>
      <c r="R12" s="360">
        <v>15</v>
      </c>
      <c r="S12" s="448"/>
      <c r="T12" s="360"/>
    </row>
    <row r="13" spans="1:20" x14ac:dyDescent="0.25">
      <c r="A13" s="340"/>
      <c r="B13" s="310" t="s">
        <v>329</v>
      </c>
      <c r="C13" s="307">
        <f>ROUND(C12/6,0)</f>
        <v>82</v>
      </c>
      <c r="D13" s="307">
        <f>ROUND(D12/6,0)</f>
        <v>287</v>
      </c>
      <c r="E13" s="341"/>
      <c r="F13" s="341"/>
      <c r="G13" s="342"/>
      <c r="H13" s="343"/>
      <c r="I13" s="343"/>
      <c r="J13" s="257" t="s">
        <v>319</v>
      </c>
      <c r="K13" s="328">
        <v>838848.47</v>
      </c>
      <c r="L13" s="328">
        <v>2343778.59</v>
      </c>
      <c r="M13" s="276">
        <v>0.7</v>
      </c>
      <c r="N13" s="360"/>
      <c r="O13" s="360"/>
      <c r="P13" s="360"/>
      <c r="Q13" s="360"/>
      <c r="R13" s="360"/>
      <c r="S13" s="448"/>
      <c r="T13" s="360"/>
    </row>
    <row r="14" spans="1:20" ht="24" x14ac:dyDescent="0.25">
      <c r="A14" s="340"/>
      <c r="B14" s="310" t="s">
        <v>329</v>
      </c>
      <c r="C14" s="307">
        <f>C12-C13</f>
        <v>411</v>
      </c>
      <c r="D14" s="307">
        <f>D12-D13</f>
        <v>1432</v>
      </c>
      <c r="E14" s="341"/>
      <c r="F14" s="341"/>
      <c r="G14" s="342"/>
      <c r="H14" s="343"/>
      <c r="I14" s="343"/>
      <c r="J14" s="257" t="s">
        <v>317</v>
      </c>
      <c r="K14" s="328">
        <v>5212459.1100000003</v>
      </c>
      <c r="L14" s="328">
        <v>11993745.75</v>
      </c>
      <c r="M14" s="276">
        <v>0.85</v>
      </c>
      <c r="N14" s="360"/>
      <c r="O14" s="360"/>
      <c r="P14" s="360"/>
      <c r="Q14" s="360"/>
      <c r="R14" s="360"/>
      <c r="S14" s="448"/>
      <c r="T14" s="360"/>
    </row>
    <row r="15" spans="1:20" s="451" customFormat="1" ht="195.75" customHeight="1" x14ac:dyDescent="0.25">
      <c r="A15" s="280" t="s">
        <v>460</v>
      </c>
      <c r="B15" s="266" t="s">
        <v>324</v>
      </c>
      <c r="C15" s="267">
        <f>'Подробно разпределение '!P7</f>
        <v>46</v>
      </c>
      <c r="D15" s="267">
        <f>'Подробно разпределение '!AD7</f>
        <v>50</v>
      </c>
      <c r="E15" s="236" t="s">
        <v>412</v>
      </c>
      <c r="F15" s="236" t="s">
        <v>473</v>
      </c>
      <c r="G15" s="269" t="s">
        <v>351</v>
      </c>
      <c r="H15" s="344" t="s">
        <v>413</v>
      </c>
      <c r="I15" s="236" t="s">
        <v>415</v>
      </c>
      <c r="J15" s="256">
        <v>180</v>
      </c>
      <c r="K15" s="327">
        <v>870143.14999999991</v>
      </c>
      <c r="L15" s="327">
        <v>2061653.35</v>
      </c>
      <c r="M15" s="277"/>
      <c r="N15" s="360"/>
      <c r="O15" s="360"/>
      <c r="P15" s="360"/>
      <c r="Q15" s="360"/>
      <c r="R15" s="360">
        <v>20</v>
      </c>
      <c r="S15" s="448"/>
      <c r="T15" s="360"/>
    </row>
    <row r="16" spans="1:20" x14ac:dyDescent="0.25">
      <c r="A16" s="340"/>
      <c r="B16" s="311" t="s">
        <v>324</v>
      </c>
      <c r="C16" s="307">
        <v>46</v>
      </c>
      <c r="D16" s="307">
        <v>50</v>
      </c>
      <c r="E16" s="341"/>
      <c r="F16" s="341"/>
      <c r="G16" s="342"/>
      <c r="H16" s="343"/>
      <c r="I16" s="343"/>
      <c r="J16" s="257" t="s">
        <v>319</v>
      </c>
      <c r="K16" s="328">
        <v>120621.58</v>
      </c>
      <c r="L16" s="328">
        <v>337021.85</v>
      </c>
      <c r="M16" s="276">
        <v>0.7</v>
      </c>
      <c r="N16" s="360"/>
      <c r="O16" s="360"/>
      <c r="P16" s="360"/>
      <c r="Q16" s="360"/>
      <c r="R16" s="360"/>
      <c r="S16" s="448"/>
      <c r="T16" s="360"/>
    </row>
    <row r="17" spans="1:20" ht="24" x14ac:dyDescent="0.25">
      <c r="A17" s="340"/>
      <c r="B17" s="311" t="s">
        <v>324</v>
      </c>
      <c r="C17" s="307">
        <v>46</v>
      </c>
      <c r="D17" s="307">
        <v>50</v>
      </c>
      <c r="E17" s="341"/>
      <c r="F17" s="341"/>
      <c r="G17" s="342"/>
      <c r="H17" s="343"/>
      <c r="I17" s="343"/>
      <c r="J17" s="257" t="s">
        <v>317</v>
      </c>
      <c r="K17" s="328">
        <v>749521.57</v>
      </c>
      <c r="L17" s="328">
        <v>1724631.5</v>
      </c>
      <c r="M17" s="276">
        <v>0.85</v>
      </c>
      <c r="N17" s="360"/>
      <c r="O17" s="360"/>
      <c r="P17" s="360"/>
      <c r="Q17" s="360"/>
      <c r="R17" s="360"/>
      <c r="S17" s="448"/>
      <c r="T17" s="360"/>
    </row>
    <row r="18" spans="1:20" ht="261.75" customHeight="1" x14ac:dyDescent="0.25">
      <c r="A18" s="306" t="s">
        <v>461</v>
      </c>
      <c r="B18" s="266" t="s">
        <v>329</v>
      </c>
      <c r="C18" s="266">
        <f>'Подробно разпределение '!P8</f>
        <v>0</v>
      </c>
      <c r="D18" s="266">
        <f>'Подробно разпределение '!AD8</f>
        <v>1</v>
      </c>
      <c r="E18" s="238" t="s">
        <v>489</v>
      </c>
      <c r="F18" s="238" t="s">
        <v>474</v>
      </c>
      <c r="G18" s="269" t="s">
        <v>351</v>
      </c>
      <c r="H18" s="236" t="s">
        <v>490</v>
      </c>
      <c r="I18" s="236" t="s">
        <v>491</v>
      </c>
      <c r="J18" s="256">
        <v>180</v>
      </c>
      <c r="K18" s="241">
        <v>1792534.62</v>
      </c>
      <c r="L18" s="241">
        <v>4247100</v>
      </c>
      <c r="M18" s="281"/>
      <c r="N18" s="360"/>
      <c r="O18" s="360"/>
      <c r="P18" s="360"/>
      <c r="Q18" s="360"/>
      <c r="R18" s="360"/>
      <c r="S18" s="448"/>
      <c r="T18" s="360"/>
    </row>
    <row r="19" spans="1:20" x14ac:dyDescent="0.25">
      <c r="A19" s="340"/>
      <c r="B19" s="310" t="s">
        <v>329</v>
      </c>
      <c r="C19" s="308">
        <f>ROUND(C18/6,2)</f>
        <v>0</v>
      </c>
      <c r="D19" s="308">
        <f>ROUND(D18/6,2)</f>
        <v>0.17</v>
      </c>
      <c r="E19" s="341"/>
      <c r="F19" s="341"/>
      <c r="G19" s="342"/>
      <c r="H19" s="343"/>
      <c r="I19" s="343"/>
      <c r="J19" s="257" t="s">
        <v>319</v>
      </c>
      <c r="K19" s="328">
        <v>248485.95</v>
      </c>
      <c r="L19" s="328">
        <v>694280.39</v>
      </c>
      <c r="M19" s="276">
        <v>0.7</v>
      </c>
      <c r="N19" s="360"/>
      <c r="O19" s="360"/>
      <c r="P19" s="360"/>
      <c r="Q19" s="360"/>
      <c r="R19" s="360"/>
      <c r="S19" s="448"/>
      <c r="T19" s="360"/>
    </row>
    <row r="20" spans="1:20" ht="24" x14ac:dyDescent="0.25">
      <c r="A20" s="340"/>
      <c r="B20" s="310" t="s">
        <v>329</v>
      </c>
      <c r="C20" s="308">
        <f>C18-C19</f>
        <v>0</v>
      </c>
      <c r="D20" s="308">
        <f>D18-D19</f>
        <v>0.83</v>
      </c>
      <c r="E20" s="341"/>
      <c r="F20" s="341"/>
      <c r="G20" s="342"/>
      <c r="H20" s="343"/>
      <c r="I20" s="343"/>
      <c r="J20" s="257" t="s">
        <v>317</v>
      </c>
      <c r="K20" s="328">
        <v>1544048.67</v>
      </c>
      <c r="L20" s="328">
        <v>3552819.61</v>
      </c>
      <c r="M20" s="276">
        <v>0.85</v>
      </c>
      <c r="N20" s="360"/>
      <c r="O20" s="360"/>
      <c r="P20" s="360"/>
      <c r="Q20" s="360"/>
      <c r="R20" s="360"/>
      <c r="S20" s="448"/>
      <c r="T20" s="360"/>
    </row>
    <row r="21" spans="1:20" s="451" customFormat="1" ht="108" x14ac:dyDescent="0.25">
      <c r="A21" s="305" t="s">
        <v>462</v>
      </c>
      <c r="B21" s="266" t="s">
        <v>329</v>
      </c>
      <c r="C21" s="304">
        <f>'Подробно разпределение '!P9</f>
        <v>25</v>
      </c>
      <c r="D21" s="304">
        <f>'Подробно разпределение '!AD9</f>
        <v>75</v>
      </c>
      <c r="E21" s="236" t="s">
        <v>416</v>
      </c>
      <c r="F21" s="239" t="s">
        <v>475</v>
      </c>
      <c r="G21" s="269" t="s">
        <v>351</v>
      </c>
      <c r="H21" s="236" t="s">
        <v>492</v>
      </c>
      <c r="I21" s="236" t="s">
        <v>417</v>
      </c>
      <c r="J21" s="237">
        <v>180</v>
      </c>
      <c r="K21" s="327">
        <v>5622120.3599999994</v>
      </c>
      <c r="L21" s="327">
        <v>13320639.6</v>
      </c>
      <c r="M21" s="277"/>
      <c r="N21" s="360">
        <v>8</v>
      </c>
      <c r="O21" s="360"/>
      <c r="P21" s="360"/>
      <c r="Q21" s="360"/>
      <c r="R21" s="360"/>
      <c r="S21" s="448"/>
      <c r="T21" s="360"/>
    </row>
    <row r="22" spans="1:20" x14ac:dyDescent="0.25">
      <c r="A22" s="340"/>
      <c r="B22" s="310" t="s">
        <v>329</v>
      </c>
      <c r="C22" s="307">
        <f>ROUND(C21/6,0)</f>
        <v>4</v>
      </c>
      <c r="D22" s="307">
        <f>ROUND(D21/6,0)</f>
        <v>13</v>
      </c>
      <c r="E22" s="341"/>
      <c r="F22" s="341"/>
      <c r="G22" s="342"/>
      <c r="H22" s="343"/>
      <c r="I22" s="343"/>
      <c r="J22" s="257" t="s">
        <v>319</v>
      </c>
      <c r="K22" s="328">
        <v>779353.39</v>
      </c>
      <c r="L22" s="328">
        <v>2177546.77</v>
      </c>
      <c r="M22" s="276">
        <v>0.7</v>
      </c>
      <c r="N22" s="360"/>
      <c r="O22" s="360"/>
      <c r="P22" s="360"/>
      <c r="Q22" s="360"/>
      <c r="R22" s="360"/>
      <c r="S22" s="448"/>
      <c r="T22" s="360"/>
    </row>
    <row r="23" spans="1:20" ht="24" x14ac:dyDescent="0.25">
      <c r="A23" s="340"/>
      <c r="B23" s="310" t="s">
        <v>329</v>
      </c>
      <c r="C23" s="307">
        <f>C21-C22</f>
        <v>21</v>
      </c>
      <c r="D23" s="307">
        <f>D21-D22</f>
        <v>62</v>
      </c>
      <c r="E23" s="341"/>
      <c r="F23" s="341"/>
      <c r="G23" s="342"/>
      <c r="H23" s="343"/>
      <c r="I23" s="343"/>
      <c r="J23" s="257" t="s">
        <v>317</v>
      </c>
      <c r="K23" s="328">
        <v>4842766.97</v>
      </c>
      <c r="L23" s="328">
        <v>11143092.83</v>
      </c>
      <c r="M23" s="276">
        <v>0.85</v>
      </c>
      <c r="N23" s="360"/>
      <c r="O23" s="360"/>
      <c r="P23" s="360"/>
      <c r="Q23" s="360"/>
      <c r="R23" s="360"/>
      <c r="S23" s="448"/>
      <c r="T23" s="360"/>
    </row>
    <row r="24" spans="1:20" ht="99.75" customHeight="1" x14ac:dyDescent="0.25">
      <c r="A24" s="305" t="s">
        <v>463</v>
      </c>
      <c r="B24" s="266" t="s">
        <v>324</v>
      </c>
      <c r="C24" s="304">
        <f>'Подробно разпределение '!P10</f>
        <v>90</v>
      </c>
      <c r="D24" s="304">
        <f>'Подробно разпределение '!AD10</f>
        <v>70</v>
      </c>
      <c r="E24" s="236" t="s">
        <v>493</v>
      </c>
      <c r="F24" s="239" t="s">
        <v>476</v>
      </c>
      <c r="G24" s="269" t="s">
        <v>351</v>
      </c>
      <c r="H24" s="236" t="s">
        <v>418</v>
      </c>
      <c r="I24" s="236" t="s">
        <v>419</v>
      </c>
      <c r="J24" s="256">
        <v>180</v>
      </c>
      <c r="K24" s="241">
        <v>6013696.3199999994</v>
      </c>
      <c r="L24" s="241">
        <v>14248410.890000001</v>
      </c>
      <c r="M24" s="275"/>
      <c r="N24" s="360">
        <v>8</v>
      </c>
      <c r="O24" s="360"/>
      <c r="P24" s="360"/>
      <c r="Q24" s="360"/>
      <c r="R24" s="360"/>
      <c r="S24" s="448"/>
      <c r="T24" s="360"/>
    </row>
    <row r="25" spans="1:20" x14ac:dyDescent="0.25">
      <c r="A25" s="340"/>
      <c r="B25" s="311" t="s">
        <v>324</v>
      </c>
      <c r="C25" s="307">
        <v>90</v>
      </c>
      <c r="D25" s="307">
        <v>70</v>
      </c>
      <c r="E25" s="341"/>
      <c r="F25" s="341"/>
      <c r="G25" s="342"/>
      <c r="H25" s="343"/>
      <c r="I25" s="343"/>
      <c r="J25" s="258" t="s">
        <v>73</v>
      </c>
      <c r="K25" s="330">
        <v>833634.71</v>
      </c>
      <c r="L25" s="330">
        <v>2329211.0699999998</v>
      </c>
      <c r="M25" s="278"/>
      <c r="N25" s="360"/>
      <c r="O25" s="360"/>
      <c r="P25" s="360"/>
      <c r="Q25" s="360"/>
      <c r="R25" s="360"/>
      <c r="S25" s="448"/>
      <c r="T25" s="360"/>
    </row>
    <row r="26" spans="1:20" ht="24" x14ac:dyDescent="0.25">
      <c r="A26" s="340"/>
      <c r="B26" s="311" t="s">
        <v>324</v>
      </c>
      <c r="C26" s="307">
        <v>90</v>
      </c>
      <c r="D26" s="307">
        <v>70</v>
      </c>
      <c r="E26" s="341"/>
      <c r="F26" s="341"/>
      <c r="G26" s="342"/>
      <c r="H26" s="343"/>
      <c r="I26" s="343"/>
      <c r="J26" s="258" t="s">
        <v>74</v>
      </c>
      <c r="K26" s="330">
        <v>5180061.6099999994</v>
      </c>
      <c r="L26" s="330">
        <v>11919199.82</v>
      </c>
      <c r="M26" s="278"/>
      <c r="N26" s="360"/>
      <c r="O26" s="360"/>
      <c r="P26" s="360"/>
      <c r="Q26" s="360"/>
      <c r="R26" s="360"/>
      <c r="S26" s="448"/>
      <c r="T26" s="360"/>
    </row>
    <row r="27" spans="1:20" s="452" customFormat="1" ht="96" x14ac:dyDescent="0.25">
      <c r="A27" s="305" t="s">
        <v>464</v>
      </c>
      <c r="B27" s="266" t="s">
        <v>324</v>
      </c>
      <c r="C27" s="304">
        <f>'Подробно разпределение '!P11</f>
        <v>80</v>
      </c>
      <c r="D27" s="304">
        <f>'Подробно разпределение '!AD11</f>
        <v>60</v>
      </c>
      <c r="E27" s="236" t="s">
        <v>494</v>
      </c>
      <c r="F27" s="239" t="s">
        <v>495</v>
      </c>
      <c r="G27" s="269" t="s">
        <v>351</v>
      </c>
      <c r="H27" s="236" t="s">
        <v>418</v>
      </c>
      <c r="I27" s="236" t="s">
        <v>420</v>
      </c>
      <c r="J27" s="256">
        <v>180</v>
      </c>
      <c r="K27" s="241">
        <v>6013696.3199999994</v>
      </c>
      <c r="L27" s="241">
        <v>14248410.890000001</v>
      </c>
      <c r="M27" s="275"/>
      <c r="N27" s="360">
        <v>8</v>
      </c>
      <c r="O27" s="360"/>
      <c r="P27" s="360"/>
      <c r="Q27" s="360"/>
      <c r="R27" s="360"/>
      <c r="S27" s="448"/>
      <c r="T27" s="360"/>
    </row>
    <row r="28" spans="1:20" x14ac:dyDescent="0.25">
      <c r="A28" s="340"/>
      <c r="B28" s="311" t="s">
        <v>324</v>
      </c>
      <c r="C28" s="307">
        <v>80</v>
      </c>
      <c r="D28" s="307">
        <v>60</v>
      </c>
      <c r="E28" s="341"/>
      <c r="F28" s="341"/>
      <c r="G28" s="342"/>
      <c r="H28" s="343"/>
      <c r="I28" s="343"/>
      <c r="J28" s="258" t="s">
        <v>73</v>
      </c>
      <c r="K28" s="330">
        <v>833634.71</v>
      </c>
      <c r="L28" s="330">
        <v>2329211.0699999998</v>
      </c>
      <c r="M28" s="278"/>
      <c r="N28" s="360"/>
      <c r="O28" s="360"/>
      <c r="P28" s="360"/>
      <c r="Q28" s="360"/>
      <c r="R28" s="360"/>
      <c r="S28" s="448"/>
      <c r="T28" s="360"/>
    </row>
    <row r="29" spans="1:20" ht="24" x14ac:dyDescent="0.25">
      <c r="A29" s="340"/>
      <c r="B29" s="311" t="s">
        <v>324</v>
      </c>
      <c r="C29" s="307">
        <v>80</v>
      </c>
      <c r="D29" s="307">
        <v>60</v>
      </c>
      <c r="E29" s="341"/>
      <c r="F29" s="341"/>
      <c r="G29" s="342"/>
      <c r="H29" s="343"/>
      <c r="I29" s="343"/>
      <c r="J29" s="258" t="s">
        <v>74</v>
      </c>
      <c r="K29" s="330">
        <v>5180061.6099999994</v>
      </c>
      <c r="L29" s="330">
        <v>11919199.82</v>
      </c>
      <c r="M29" s="278"/>
      <c r="N29" s="360"/>
      <c r="O29" s="360"/>
      <c r="P29" s="360"/>
      <c r="Q29" s="360"/>
      <c r="R29" s="360"/>
      <c r="S29" s="448"/>
      <c r="T29" s="360"/>
    </row>
    <row r="30" spans="1:20" s="453" customFormat="1" ht="168" x14ac:dyDescent="0.25">
      <c r="A30" s="280" t="s">
        <v>465</v>
      </c>
      <c r="B30" s="266" t="s">
        <v>329</v>
      </c>
      <c r="C30" s="267">
        <f>'Подробно разпределение '!P12</f>
        <v>380</v>
      </c>
      <c r="D30" s="267">
        <f>'Подробно разпределение '!AD12</f>
        <v>380</v>
      </c>
      <c r="E30" s="236" t="s">
        <v>421</v>
      </c>
      <c r="F30" s="236" t="s">
        <v>477</v>
      </c>
      <c r="G30" s="269" t="s">
        <v>351</v>
      </c>
      <c r="H30" s="236" t="s">
        <v>422</v>
      </c>
      <c r="I30" s="236" t="s">
        <v>426</v>
      </c>
      <c r="J30" s="256">
        <v>180</v>
      </c>
      <c r="K30" s="327">
        <v>16739576.859999999</v>
      </c>
      <c r="L30" s="327">
        <v>39661525.579999998</v>
      </c>
      <c r="M30" s="279"/>
      <c r="N30" s="360">
        <v>27</v>
      </c>
      <c r="O30" s="360">
        <v>46</v>
      </c>
      <c r="P30" s="360">
        <v>46</v>
      </c>
      <c r="Q30" s="360">
        <v>46</v>
      </c>
      <c r="R30" s="360">
        <v>26</v>
      </c>
      <c r="S30" s="448">
        <v>75</v>
      </c>
      <c r="T30" s="360">
        <v>65</v>
      </c>
    </row>
    <row r="31" spans="1:20" x14ac:dyDescent="0.25">
      <c r="A31" s="340"/>
      <c r="B31" s="310" t="s">
        <v>329</v>
      </c>
      <c r="C31" s="307">
        <f>ROUND(C30/6,0)</f>
        <v>63</v>
      </c>
      <c r="D31" s="307">
        <f>ROUND(D30/6,0)</f>
        <v>63</v>
      </c>
      <c r="E31" s="341"/>
      <c r="F31" s="341"/>
      <c r="G31" s="342"/>
      <c r="H31" s="343"/>
      <c r="I31" s="343"/>
      <c r="J31" s="257" t="s">
        <v>319</v>
      </c>
      <c r="K31" s="328">
        <v>2320485.0099999998</v>
      </c>
      <c r="L31" s="328">
        <v>6483534.5499999998</v>
      </c>
      <c r="M31" s="276">
        <v>0.7</v>
      </c>
      <c r="N31" s="360"/>
      <c r="O31" s="360"/>
      <c r="P31" s="360"/>
      <c r="Q31" s="360"/>
      <c r="R31" s="360"/>
      <c r="S31" s="448"/>
      <c r="T31" s="360"/>
    </row>
    <row r="32" spans="1:20" ht="24" x14ac:dyDescent="0.25">
      <c r="A32" s="340"/>
      <c r="B32" s="310" t="s">
        <v>329</v>
      </c>
      <c r="C32" s="307">
        <f>C30-C31</f>
        <v>317</v>
      </c>
      <c r="D32" s="307">
        <f>D30-D31</f>
        <v>317</v>
      </c>
      <c r="E32" s="341"/>
      <c r="F32" s="341"/>
      <c r="G32" s="342"/>
      <c r="H32" s="343"/>
      <c r="I32" s="343"/>
      <c r="J32" s="257" t="s">
        <v>317</v>
      </c>
      <c r="K32" s="328">
        <v>14419091.85</v>
      </c>
      <c r="L32" s="328">
        <v>33177991.030000001</v>
      </c>
      <c r="M32" s="276">
        <v>0.85</v>
      </c>
      <c r="N32" s="360"/>
      <c r="O32" s="360"/>
      <c r="P32" s="360"/>
      <c r="Q32" s="360"/>
      <c r="R32" s="360"/>
      <c r="S32" s="448"/>
      <c r="T32" s="360"/>
    </row>
    <row r="33" spans="1:20" ht="156" x14ac:dyDescent="0.25">
      <c r="A33" s="280" t="s">
        <v>384</v>
      </c>
      <c r="B33" s="266" t="s">
        <v>329</v>
      </c>
      <c r="C33" s="267">
        <f>'Подробно разпределение '!P13</f>
        <v>35</v>
      </c>
      <c r="D33" s="267">
        <f>'Подробно разпределение '!AD13</f>
        <v>94</v>
      </c>
      <c r="E33" s="236" t="s">
        <v>423</v>
      </c>
      <c r="F33" s="236" t="s">
        <v>478</v>
      </c>
      <c r="G33" s="269" t="s">
        <v>326</v>
      </c>
      <c r="H33" s="236" t="s">
        <v>424</v>
      </c>
      <c r="I33" s="236" t="s">
        <v>425</v>
      </c>
      <c r="J33" s="256">
        <v>182</v>
      </c>
      <c r="K33" s="331">
        <v>4251587.66</v>
      </c>
      <c r="L33" s="241">
        <v>10073399.91</v>
      </c>
      <c r="M33" s="275"/>
      <c r="N33" s="360">
        <v>3</v>
      </c>
      <c r="O33" s="360">
        <v>8</v>
      </c>
      <c r="P33" s="360">
        <v>8</v>
      </c>
      <c r="Q33" s="360">
        <v>8</v>
      </c>
      <c r="R33" s="360">
        <v>8</v>
      </c>
      <c r="S33" s="448">
        <v>5</v>
      </c>
      <c r="T33" s="360"/>
    </row>
    <row r="34" spans="1:20" x14ac:dyDescent="0.25">
      <c r="A34" s="340"/>
      <c r="B34" s="310" t="s">
        <v>329</v>
      </c>
      <c r="C34" s="307">
        <f>ROUND(C33/6,0)</f>
        <v>6</v>
      </c>
      <c r="D34" s="307">
        <f>ROUND(D33/6,0)</f>
        <v>16</v>
      </c>
      <c r="E34" s="341"/>
      <c r="F34" s="341"/>
      <c r="G34" s="342"/>
      <c r="H34" s="343"/>
      <c r="I34" s="343"/>
      <c r="J34" s="257" t="s">
        <v>319</v>
      </c>
      <c r="K34" s="329">
        <v>589366.47</v>
      </c>
      <c r="L34" s="328">
        <v>1646715.18</v>
      </c>
      <c r="M34" s="276">
        <v>0.7</v>
      </c>
      <c r="N34" s="360"/>
      <c r="O34" s="360"/>
      <c r="P34" s="360"/>
      <c r="Q34" s="360"/>
      <c r="R34" s="360"/>
      <c r="S34" s="448"/>
      <c r="T34" s="360"/>
    </row>
    <row r="35" spans="1:20" ht="24" x14ac:dyDescent="0.25">
      <c r="A35" s="340"/>
      <c r="B35" s="310" t="s">
        <v>329</v>
      </c>
      <c r="C35" s="307">
        <f>C33-C34</f>
        <v>29</v>
      </c>
      <c r="D35" s="307">
        <f>D33-D34</f>
        <v>78</v>
      </c>
      <c r="E35" s="341"/>
      <c r="F35" s="341"/>
      <c r="G35" s="342"/>
      <c r="H35" s="343"/>
      <c r="I35" s="343"/>
      <c r="J35" s="257" t="s">
        <v>317</v>
      </c>
      <c r="K35" s="329">
        <v>3662221.19</v>
      </c>
      <c r="L35" s="328">
        <v>8426684.7300000004</v>
      </c>
      <c r="M35" s="276">
        <v>0.85</v>
      </c>
      <c r="N35" s="360"/>
      <c r="O35" s="360"/>
      <c r="P35" s="360"/>
      <c r="Q35" s="360"/>
      <c r="R35" s="360"/>
      <c r="S35" s="448"/>
      <c r="T35" s="360"/>
    </row>
    <row r="36" spans="1:20" ht="196.5" customHeight="1" x14ac:dyDescent="0.25">
      <c r="A36" s="280" t="s">
        <v>428</v>
      </c>
      <c r="B36" s="266" t="s">
        <v>329</v>
      </c>
      <c r="C36" s="267">
        <f>'Подробно разпределение '!P14</f>
        <v>10579.463000000003</v>
      </c>
      <c r="D36" s="267">
        <f>'Подробно разпределение '!AD14</f>
        <v>19517.543333333335</v>
      </c>
      <c r="E36" s="236" t="s">
        <v>429</v>
      </c>
      <c r="F36" s="236" t="s">
        <v>479</v>
      </c>
      <c r="G36" s="269" t="s">
        <v>326</v>
      </c>
      <c r="H36" s="236" t="s">
        <v>430</v>
      </c>
      <c r="I36" s="236" t="s">
        <v>427</v>
      </c>
      <c r="J36" s="256">
        <v>182</v>
      </c>
      <c r="K36" s="331">
        <v>6494793.0899999999</v>
      </c>
      <c r="L36" s="241">
        <v>15388286.380000001</v>
      </c>
      <c r="M36" s="275"/>
      <c r="N36" s="360">
        <v>3</v>
      </c>
      <c r="O36" s="360">
        <v>8</v>
      </c>
      <c r="P36" s="360">
        <v>8</v>
      </c>
      <c r="Q36" s="360">
        <v>8</v>
      </c>
      <c r="R36" s="360">
        <v>8</v>
      </c>
      <c r="S36" s="448">
        <v>5</v>
      </c>
      <c r="T36" s="360"/>
    </row>
    <row r="37" spans="1:20" x14ac:dyDescent="0.25">
      <c r="A37" s="340"/>
      <c r="B37" s="310" t="s">
        <v>329</v>
      </c>
      <c r="C37" s="307">
        <f>ROUND(C36/6,0)</f>
        <v>1763</v>
      </c>
      <c r="D37" s="307">
        <f>ROUND(D36/6,0)</f>
        <v>3253</v>
      </c>
      <c r="E37" s="341"/>
      <c r="F37" s="341"/>
      <c r="G37" s="342"/>
      <c r="H37" s="343"/>
      <c r="I37" s="343"/>
      <c r="J37" s="257" t="s">
        <v>319</v>
      </c>
      <c r="K37" s="329">
        <v>900325.62</v>
      </c>
      <c r="L37" s="328">
        <v>2515548.38</v>
      </c>
      <c r="M37" s="276">
        <v>0.7</v>
      </c>
      <c r="N37" s="360"/>
      <c r="O37" s="360"/>
      <c r="P37" s="360"/>
      <c r="Q37" s="360"/>
      <c r="R37" s="360"/>
      <c r="S37" s="448"/>
      <c r="T37" s="360"/>
    </row>
    <row r="38" spans="1:20" ht="24" x14ac:dyDescent="0.25">
      <c r="A38" s="340"/>
      <c r="B38" s="310" t="s">
        <v>329</v>
      </c>
      <c r="C38" s="307">
        <f>C36-C37</f>
        <v>8816.4630000000034</v>
      </c>
      <c r="D38" s="307">
        <f>D36-D37</f>
        <v>16264.543333333335</v>
      </c>
      <c r="E38" s="341"/>
      <c r="F38" s="341"/>
      <c r="G38" s="342"/>
      <c r="H38" s="343"/>
      <c r="I38" s="343"/>
      <c r="J38" s="257" t="s">
        <v>317</v>
      </c>
      <c r="K38" s="329">
        <v>5594467.4699999997</v>
      </c>
      <c r="L38" s="328">
        <v>12872738</v>
      </c>
      <c r="M38" s="276">
        <v>0.85</v>
      </c>
      <c r="N38" s="360"/>
      <c r="O38" s="360"/>
      <c r="P38" s="360"/>
      <c r="Q38" s="360"/>
      <c r="R38" s="360"/>
      <c r="S38" s="448"/>
      <c r="T38" s="360"/>
    </row>
    <row r="39" spans="1:20" ht="192" x14ac:dyDescent="0.25">
      <c r="A39" s="280" t="s">
        <v>385</v>
      </c>
      <c r="B39" s="266" t="s">
        <v>324</v>
      </c>
      <c r="C39" s="267">
        <f>'Подробно разпределение '!P15</f>
        <v>70</v>
      </c>
      <c r="D39" s="267">
        <f>'Подробно разпределение '!AD15</f>
        <v>80</v>
      </c>
      <c r="E39" s="236" t="s">
        <v>431</v>
      </c>
      <c r="F39" s="239" t="s">
        <v>496</v>
      </c>
      <c r="G39" s="269" t="s">
        <v>326</v>
      </c>
      <c r="H39" s="236" t="s">
        <v>432</v>
      </c>
      <c r="I39" s="236" t="s">
        <v>433</v>
      </c>
      <c r="J39" s="256">
        <v>182</v>
      </c>
      <c r="K39" s="331">
        <v>4304489.0599999996</v>
      </c>
      <c r="L39" s="241">
        <v>10198740.609999999</v>
      </c>
      <c r="M39" s="275"/>
      <c r="N39" s="360">
        <v>3</v>
      </c>
      <c r="O39" s="360">
        <v>8</v>
      </c>
      <c r="P39" s="360">
        <v>8</v>
      </c>
      <c r="Q39" s="360">
        <v>8</v>
      </c>
      <c r="R39" s="360">
        <v>8</v>
      </c>
      <c r="S39" s="448">
        <v>5</v>
      </c>
      <c r="T39" s="360"/>
    </row>
    <row r="40" spans="1:20" x14ac:dyDescent="0.25">
      <c r="A40" s="340"/>
      <c r="B40" s="311" t="s">
        <v>324</v>
      </c>
      <c r="C40" s="307">
        <v>70</v>
      </c>
      <c r="D40" s="307">
        <v>80</v>
      </c>
      <c r="E40" s="341"/>
      <c r="F40" s="341"/>
      <c r="G40" s="342"/>
      <c r="H40" s="343"/>
      <c r="I40" s="343"/>
      <c r="J40" s="257" t="s">
        <v>319</v>
      </c>
      <c r="K40" s="329">
        <v>596699.81000000006</v>
      </c>
      <c r="L40" s="328">
        <v>1667204.83</v>
      </c>
      <c r="M40" s="276">
        <v>0.7</v>
      </c>
      <c r="N40" s="360"/>
      <c r="O40" s="360"/>
      <c r="P40" s="360"/>
      <c r="Q40" s="360"/>
      <c r="R40" s="360"/>
      <c r="S40" s="448"/>
      <c r="T40" s="360"/>
    </row>
    <row r="41" spans="1:20" ht="24" x14ac:dyDescent="0.25">
      <c r="A41" s="340"/>
      <c r="B41" s="311" t="s">
        <v>324</v>
      </c>
      <c r="C41" s="307">
        <v>70</v>
      </c>
      <c r="D41" s="307">
        <v>80</v>
      </c>
      <c r="E41" s="341"/>
      <c r="F41" s="341"/>
      <c r="G41" s="342"/>
      <c r="H41" s="343"/>
      <c r="I41" s="343"/>
      <c r="J41" s="257" t="s">
        <v>317</v>
      </c>
      <c r="K41" s="329">
        <v>3707789.25</v>
      </c>
      <c r="L41" s="328">
        <v>8531535.7799999993</v>
      </c>
      <c r="M41" s="276">
        <v>0.85</v>
      </c>
      <c r="N41" s="360"/>
      <c r="O41" s="360"/>
      <c r="P41" s="360"/>
      <c r="Q41" s="360"/>
      <c r="R41" s="360"/>
      <c r="S41" s="448"/>
      <c r="T41" s="360"/>
    </row>
    <row r="42" spans="1:20" ht="168" x14ac:dyDescent="0.25">
      <c r="A42" s="280" t="s">
        <v>497</v>
      </c>
      <c r="B42" s="269" t="s">
        <v>329</v>
      </c>
      <c r="C42" s="236">
        <f>'Подробно разпределение '!P16</f>
        <v>45</v>
      </c>
      <c r="D42" s="236">
        <f>'Подробно разпределение '!AD16</f>
        <v>220</v>
      </c>
      <c r="E42" s="236" t="s">
        <v>434</v>
      </c>
      <c r="F42" s="239" t="s">
        <v>484</v>
      </c>
      <c r="G42" s="269" t="s">
        <v>339</v>
      </c>
      <c r="H42" s="239" t="s">
        <v>436</v>
      </c>
      <c r="I42" s="236" t="s">
        <v>435</v>
      </c>
      <c r="J42" s="256">
        <v>182</v>
      </c>
      <c r="K42" s="241">
        <v>5362077.6500000004</v>
      </c>
      <c r="L42" s="241">
        <v>12704513.43</v>
      </c>
      <c r="M42" s="275"/>
      <c r="N42" s="360"/>
      <c r="O42" s="360"/>
      <c r="P42" s="360"/>
      <c r="Q42" s="360"/>
      <c r="R42" s="360"/>
      <c r="S42" s="448"/>
      <c r="T42" s="360">
        <v>10</v>
      </c>
    </row>
    <row r="43" spans="1:20" x14ac:dyDescent="0.25">
      <c r="A43" s="310"/>
      <c r="B43" s="310" t="s">
        <v>329</v>
      </c>
      <c r="C43" s="307">
        <f>ROUND(C42/6,0)</f>
        <v>8</v>
      </c>
      <c r="D43" s="307">
        <f>ROUND(D42/6,0)</f>
        <v>37</v>
      </c>
      <c r="E43" s="341"/>
      <c r="F43" s="341"/>
      <c r="G43" s="342"/>
      <c r="H43" s="343"/>
      <c r="I43" s="343"/>
      <c r="J43" s="257" t="s">
        <v>319</v>
      </c>
      <c r="K43" s="328">
        <v>743305.58</v>
      </c>
      <c r="L43" s="328">
        <v>2076827.62</v>
      </c>
      <c r="M43" s="276">
        <v>0.7</v>
      </c>
      <c r="N43" s="360"/>
      <c r="O43" s="360"/>
      <c r="P43" s="360"/>
      <c r="Q43" s="360"/>
      <c r="R43" s="360"/>
      <c r="S43" s="448"/>
      <c r="T43" s="360"/>
    </row>
    <row r="44" spans="1:20" ht="24" x14ac:dyDescent="0.25">
      <c r="A44" s="310"/>
      <c r="B44" s="310" t="s">
        <v>329</v>
      </c>
      <c r="C44" s="307">
        <f>C42-C43</f>
        <v>37</v>
      </c>
      <c r="D44" s="307">
        <f>D42-D43</f>
        <v>183</v>
      </c>
      <c r="E44" s="341"/>
      <c r="F44" s="341"/>
      <c r="G44" s="342"/>
      <c r="H44" s="343"/>
      <c r="I44" s="343"/>
      <c r="J44" s="257" t="s">
        <v>317</v>
      </c>
      <c r="K44" s="328">
        <v>4618772.07</v>
      </c>
      <c r="L44" s="328">
        <v>10627685.810000001</v>
      </c>
      <c r="M44" s="276">
        <v>0.85</v>
      </c>
      <c r="N44" s="360"/>
      <c r="O44" s="360"/>
      <c r="P44" s="360"/>
      <c r="Q44" s="360"/>
      <c r="R44" s="360"/>
      <c r="S44" s="448"/>
      <c r="T44" s="360"/>
    </row>
    <row r="45" spans="1:20" ht="125.25" customHeight="1" x14ac:dyDescent="0.25">
      <c r="A45" s="280" t="s">
        <v>386</v>
      </c>
      <c r="B45" s="269" t="s">
        <v>329</v>
      </c>
      <c r="C45" s="269">
        <f>'Подробно разпределение '!P17</f>
        <v>0</v>
      </c>
      <c r="D45" s="269">
        <f>'Подробно разпределение '!AD17</f>
        <v>240</v>
      </c>
      <c r="E45" s="236" t="s">
        <v>437</v>
      </c>
      <c r="F45" s="239" t="s">
        <v>480</v>
      </c>
      <c r="G45" s="269" t="s">
        <v>372</v>
      </c>
      <c r="H45" s="239" t="s">
        <v>439</v>
      </c>
      <c r="I45" s="236" t="s">
        <v>440</v>
      </c>
      <c r="J45" s="256">
        <v>181</v>
      </c>
      <c r="K45" s="331">
        <v>5362077.6399999997</v>
      </c>
      <c r="L45" s="241">
        <v>12704513.43</v>
      </c>
      <c r="M45" s="275"/>
      <c r="N45" s="360"/>
      <c r="O45" s="360"/>
      <c r="P45" s="360"/>
      <c r="Q45" s="360"/>
      <c r="R45" s="360"/>
      <c r="S45" s="448"/>
      <c r="T45" s="360">
        <v>10</v>
      </c>
    </row>
    <row r="46" spans="1:20" x14ac:dyDescent="0.25">
      <c r="A46" s="310"/>
      <c r="B46" s="310" t="s">
        <v>329</v>
      </c>
      <c r="C46" s="307">
        <f>ROUND(C45/6,0)</f>
        <v>0</v>
      </c>
      <c r="D46" s="307">
        <f>ROUND(D45/6,0)</f>
        <v>40</v>
      </c>
      <c r="E46" s="341"/>
      <c r="F46" s="341"/>
      <c r="G46" s="342"/>
      <c r="H46" s="343"/>
      <c r="I46" s="343"/>
      <c r="J46" s="257" t="s">
        <v>319</v>
      </c>
      <c r="K46" s="328">
        <v>743305.57</v>
      </c>
      <c r="L46" s="328">
        <v>2076827.62</v>
      </c>
      <c r="M46" s="276">
        <v>0.7</v>
      </c>
      <c r="N46" s="360"/>
      <c r="O46" s="360"/>
      <c r="P46" s="360"/>
      <c r="Q46" s="360"/>
      <c r="R46" s="360"/>
      <c r="S46" s="448"/>
      <c r="T46" s="360"/>
    </row>
    <row r="47" spans="1:20" ht="24" x14ac:dyDescent="0.25">
      <c r="A47" s="310"/>
      <c r="B47" s="310" t="s">
        <v>329</v>
      </c>
      <c r="C47" s="307">
        <f>C45-C46</f>
        <v>0</v>
      </c>
      <c r="D47" s="307">
        <f>D45-D46</f>
        <v>200</v>
      </c>
      <c r="E47" s="341"/>
      <c r="F47" s="341"/>
      <c r="G47" s="342"/>
      <c r="H47" s="343"/>
      <c r="I47" s="343"/>
      <c r="J47" s="257" t="s">
        <v>317</v>
      </c>
      <c r="K47" s="328">
        <v>4618772.07</v>
      </c>
      <c r="L47" s="328">
        <v>10627685.810000001</v>
      </c>
      <c r="M47" s="276">
        <v>0.85</v>
      </c>
      <c r="N47" s="360"/>
      <c r="O47" s="360"/>
      <c r="P47" s="360"/>
      <c r="Q47" s="360"/>
      <c r="R47" s="360"/>
      <c r="S47" s="448"/>
      <c r="T47" s="360"/>
    </row>
    <row r="48" spans="1:20" ht="144.75" customHeight="1" x14ac:dyDescent="0.25">
      <c r="A48" s="280" t="s">
        <v>409</v>
      </c>
      <c r="B48" s="269" t="s">
        <v>329</v>
      </c>
      <c r="C48" s="269">
        <f>'Подробно разпределение '!P18</f>
        <v>0</v>
      </c>
      <c r="D48" s="269">
        <f>'Подробно разпределение '!AD18</f>
        <v>140</v>
      </c>
      <c r="E48" s="236" t="s">
        <v>441</v>
      </c>
      <c r="F48" s="239" t="s">
        <v>480</v>
      </c>
      <c r="G48" s="269" t="s">
        <v>372</v>
      </c>
      <c r="H48" s="240" t="s">
        <v>444</v>
      </c>
      <c r="I48" s="236" t="s">
        <v>442</v>
      </c>
      <c r="J48" s="256">
        <v>179</v>
      </c>
      <c r="K48" s="241">
        <v>3251773.41</v>
      </c>
      <c r="L48" s="241">
        <v>7704513.4299999997</v>
      </c>
      <c r="M48" s="275"/>
      <c r="N48" s="360"/>
      <c r="O48" s="360"/>
      <c r="P48" s="360"/>
      <c r="Q48" s="360"/>
      <c r="R48" s="360"/>
      <c r="S48" s="448"/>
      <c r="T48" s="360">
        <v>10</v>
      </c>
    </row>
    <row r="49" spans="1:20" x14ac:dyDescent="0.25">
      <c r="A49" s="340"/>
      <c r="B49" s="310" t="s">
        <v>329</v>
      </c>
      <c r="C49" s="307">
        <f>ROUND(C48/6,0)</f>
        <v>0</v>
      </c>
      <c r="D49" s="307">
        <f>ROUND(D48/6,0)</f>
        <v>23</v>
      </c>
      <c r="E49" s="341"/>
      <c r="F49" s="341"/>
      <c r="G49" s="342"/>
      <c r="H49" s="343"/>
      <c r="I49" s="345"/>
      <c r="J49" s="257" t="s">
        <v>319</v>
      </c>
      <c r="K49" s="328">
        <v>450769.53</v>
      </c>
      <c r="L49" s="328">
        <v>1259469.43</v>
      </c>
      <c r="M49" s="276">
        <v>0.7</v>
      </c>
      <c r="N49" s="360"/>
      <c r="O49" s="360"/>
      <c r="P49" s="360"/>
      <c r="Q49" s="360"/>
      <c r="R49" s="360"/>
      <c r="S49" s="448"/>
      <c r="T49" s="360"/>
    </row>
    <row r="50" spans="1:20" ht="24" x14ac:dyDescent="0.25">
      <c r="A50" s="340"/>
      <c r="B50" s="310" t="s">
        <v>329</v>
      </c>
      <c r="C50" s="307">
        <f>C48-C49</f>
        <v>0</v>
      </c>
      <c r="D50" s="307">
        <f>D48-D49</f>
        <v>117</v>
      </c>
      <c r="E50" s="341"/>
      <c r="F50" s="341"/>
      <c r="G50" s="342"/>
      <c r="H50" s="343"/>
      <c r="I50" s="345"/>
      <c r="J50" s="257" t="s">
        <v>317</v>
      </c>
      <c r="K50" s="328">
        <v>2801003.88</v>
      </c>
      <c r="L50" s="328">
        <v>6445044</v>
      </c>
      <c r="M50" s="276">
        <v>0.85</v>
      </c>
      <c r="N50" s="360"/>
      <c r="O50" s="360"/>
      <c r="P50" s="360"/>
      <c r="Q50" s="360"/>
      <c r="R50" s="360"/>
      <c r="S50" s="448"/>
      <c r="T50" s="360"/>
    </row>
    <row r="51" spans="1:20" ht="98.25" customHeight="1" x14ac:dyDescent="0.25">
      <c r="A51" s="305" t="s">
        <v>410</v>
      </c>
      <c r="B51" s="266" t="s">
        <v>329</v>
      </c>
      <c r="C51" s="304">
        <f>'Подробно разпределение '!P19</f>
        <v>334</v>
      </c>
      <c r="D51" s="304">
        <f>'Подробно разпределение '!AD19</f>
        <v>2348</v>
      </c>
      <c r="E51" s="236" t="s">
        <v>443</v>
      </c>
      <c r="F51" s="238" t="s">
        <v>481</v>
      </c>
      <c r="G51" s="269" t="s">
        <v>383</v>
      </c>
      <c r="H51" s="236" t="s">
        <v>453</v>
      </c>
      <c r="I51" s="236" t="s">
        <v>445</v>
      </c>
      <c r="J51" s="237">
        <v>179</v>
      </c>
      <c r="K51" s="241">
        <v>4694179.21</v>
      </c>
      <c r="L51" s="241">
        <v>11122043.880000001</v>
      </c>
      <c r="M51" s="275"/>
      <c r="N51" s="360">
        <v>5</v>
      </c>
      <c r="O51" s="360"/>
      <c r="P51" s="360"/>
      <c r="Q51" s="360"/>
      <c r="R51" s="360"/>
      <c r="S51" s="448"/>
      <c r="T51" s="360">
        <v>1.25</v>
      </c>
    </row>
    <row r="52" spans="1:20" x14ac:dyDescent="0.25">
      <c r="A52" s="340"/>
      <c r="B52" s="310" t="s">
        <v>329</v>
      </c>
      <c r="C52" s="307">
        <f>ROUND(4*C51/27,0)</f>
        <v>49</v>
      </c>
      <c r="D52" s="307">
        <f>ROUND(4*D51/27,0)</f>
        <v>348</v>
      </c>
      <c r="E52" s="341"/>
      <c r="F52" s="341"/>
      <c r="G52" s="342"/>
      <c r="H52" s="343"/>
      <c r="I52" s="343"/>
      <c r="J52" s="257" t="s">
        <v>319</v>
      </c>
      <c r="K52" s="329">
        <v>650719.69999999995</v>
      </c>
      <c r="L52" s="328">
        <v>1818138.73</v>
      </c>
      <c r="M52" s="276">
        <v>0.7</v>
      </c>
      <c r="N52" s="360"/>
      <c r="O52" s="360"/>
      <c r="P52" s="360"/>
      <c r="Q52" s="360"/>
      <c r="R52" s="360"/>
      <c r="S52" s="448"/>
      <c r="T52" s="360"/>
    </row>
    <row r="53" spans="1:20" ht="24" customHeight="1" x14ac:dyDescent="0.25">
      <c r="A53" s="340"/>
      <c r="B53" s="310" t="s">
        <v>329</v>
      </c>
      <c r="C53" s="307">
        <f>C51-C52</f>
        <v>285</v>
      </c>
      <c r="D53" s="307">
        <f>D51-D52</f>
        <v>2000</v>
      </c>
      <c r="E53" s="341"/>
      <c r="F53" s="341"/>
      <c r="G53" s="342"/>
      <c r="H53" s="343"/>
      <c r="I53" s="343"/>
      <c r="J53" s="257" t="s">
        <v>317</v>
      </c>
      <c r="K53" s="329">
        <v>4043459.51</v>
      </c>
      <c r="L53" s="328">
        <v>9303905.1500000004</v>
      </c>
      <c r="M53" s="276">
        <v>0.85</v>
      </c>
      <c r="N53" s="360"/>
      <c r="O53" s="360"/>
      <c r="P53" s="360"/>
      <c r="Q53" s="360"/>
      <c r="R53" s="360"/>
      <c r="S53" s="448"/>
      <c r="T53" s="360"/>
    </row>
    <row r="54" spans="1:20" ht="132" customHeight="1" x14ac:dyDescent="0.25">
      <c r="A54" s="305" t="s">
        <v>482</v>
      </c>
      <c r="B54" s="266" t="s">
        <v>329</v>
      </c>
      <c r="C54" s="304">
        <f>'Подробно разпределение '!P20</f>
        <v>1000000</v>
      </c>
      <c r="D54" s="304">
        <f>'Подробно разпределение '!AD20</f>
        <v>1000000</v>
      </c>
      <c r="E54" s="236" t="s">
        <v>485</v>
      </c>
      <c r="F54" s="238" t="s">
        <v>486</v>
      </c>
      <c r="G54" s="269" t="s">
        <v>383</v>
      </c>
      <c r="H54" s="236" t="s">
        <v>452</v>
      </c>
      <c r="I54" s="236" t="s">
        <v>445</v>
      </c>
      <c r="J54" s="259">
        <v>179</v>
      </c>
      <c r="K54" s="241">
        <v>4172562</v>
      </c>
      <c r="L54" s="241">
        <v>9886162.3300000001</v>
      </c>
      <c r="M54" s="275"/>
      <c r="N54" s="360">
        <v>5</v>
      </c>
      <c r="O54" s="360"/>
      <c r="P54" s="360"/>
      <c r="Q54" s="360"/>
      <c r="R54" s="360"/>
      <c r="S54" s="448"/>
      <c r="T54" s="360">
        <v>1.25</v>
      </c>
    </row>
    <row r="55" spans="1:20" x14ac:dyDescent="0.25">
      <c r="A55" s="340"/>
      <c r="B55" s="310" t="s">
        <v>329</v>
      </c>
      <c r="C55" s="307">
        <f>ROUND(4*C54/27,0)</f>
        <v>148148</v>
      </c>
      <c r="D55" s="307">
        <f>ROUND(4*D54/27,0)</f>
        <v>148148</v>
      </c>
      <c r="E55" s="341"/>
      <c r="F55" s="341"/>
      <c r="G55" s="342"/>
      <c r="H55" s="343"/>
      <c r="I55" s="343"/>
      <c r="J55" s="257" t="s">
        <v>319</v>
      </c>
      <c r="K55" s="329">
        <v>578411.72</v>
      </c>
      <c r="L55" s="328">
        <v>1616107.15</v>
      </c>
      <c r="M55" s="276">
        <v>0.7</v>
      </c>
      <c r="N55" s="360"/>
      <c r="O55" s="360"/>
      <c r="P55" s="360"/>
      <c r="Q55" s="360"/>
      <c r="R55" s="360"/>
      <c r="S55" s="448"/>
      <c r="T55" s="360"/>
    </row>
    <row r="56" spans="1:20" ht="24" x14ac:dyDescent="0.25">
      <c r="A56" s="340"/>
      <c r="B56" s="310" t="s">
        <v>329</v>
      </c>
      <c r="C56" s="307">
        <f>C54-C55</f>
        <v>851852</v>
      </c>
      <c r="D56" s="307">
        <f>D54-D55</f>
        <v>851852</v>
      </c>
      <c r="E56" s="341"/>
      <c r="F56" s="341"/>
      <c r="G56" s="342"/>
      <c r="H56" s="343"/>
      <c r="I56" s="343"/>
      <c r="J56" s="257" t="s">
        <v>317</v>
      </c>
      <c r="K56" s="329">
        <v>3594150.28</v>
      </c>
      <c r="L56" s="328">
        <v>8270055.1799999997</v>
      </c>
      <c r="M56" s="276">
        <v>0.85</v>
      </c>
      <c r="N56" s="360"/>
      <c r="O56" s="360"/>
      <c r="P56" s="360"/>
      <c r="Q56" s="360"/>
      <c r="R56" s="360"/>
      <c r="S56" s="448"/>
      <c r="T56" s="360"/>
    </row>
    <row r="57" spans="1:20" ht="102.75" customHeight="1" x14ac:dyDescent="0.25">
      <c r="A57" s="305" t="s">
        <v>411</v>
      </c>
      <c r="B57" s="266" t="s">
        <v>329</v>
      </c>
      <c r="C57" s="304">
        <f>'Подробно разпределение '!P21</f>
        <v>2160000</v>
      </c>
      <c r="D57" s="304">
        <f>'Подробно разпределение '!AD21</f>
        <v>9072000</v>
      </c>
      <c r="E57" s="236" t="s">
        <v>446</v>
      </c>
      <c r="F57" s="239" t="s">
        <v>483</v>
      </c>
      <c r="G57" s="269" t="s">
        <v>383</v>
      </c>
      <c r="H57" s="236" t="s">
        <v>451</v>
      </c>
      <c r="I57" s="236" t="s">
        <v>447</v>
      </c>
      <c r="J57" s="256">
        <v>179</v>
      </c>
      <c r="K57" s="331">
        <v>4172562</v>
      </c>
      <c r="L57" s="241">
        <v>9886162.3300000001</v>
      </c>
      <c r="M57" s="275"/>
      <c r="N57" s="360">
        <v>5</v>
      </c>
      <c r="O57" s="360"/>
      <c r="P57" s="360"/>
      <c r="Q57" s="360"/>
      <c r="R57" s="360"/>
      <c r="S57" s="448"/>
      <c r="T57" s="360">
        <v>1.25</v>
      </c>
    </row>
    <row r="58" spans="1:20" x14ac:dyDescent="0.25">
      <c r="A58" s="340"/>
      <c r="B58" s="310" t="s">
        <v>329</v>
      </c>
      <c r="C58" s="307">
        <f>ROUND(4*C57/27,0)</f>
        <v>320000</v>
      </c>
      <c r="D58" s="307">
        <f>ROUND(4*D57/27,0)</f>
        <v>1344000</v>
      </c>
      <c r="E58" s="341"/>
      <c r="F58" s="341"/>
      <c r="G58" s="342"/>
      <c r="H58" s="343"/>
      <c r="I58" s="343"/>
      <c r="J58" s="257" t="s">
        <v>319</v>
      </c>
      <c r="K58" s="329">
        <v>578411.72</v>
      </c>
      <c r="L58" s="328">
        <v>1616107.15</v>
      </c>
      <c r="M58" s="276">
        <v>0.7</v>
      </c>
      <c r="N58" s="360"/>
      <c r="O58" s="360"/>
      <c r="P58" s="360"/>
      <c r="Q58" s="360"/>
      <c r="R58" s="360"/>
      <c r="S58" s="448"/>
      <c r="T58" s="360"/>
    </row>
    <row r="59" spans="1:20" ht="24" x14ac:dyDescent="0.25">
      <c r="A59" s="340"/>
      <c r="B59" s="310" t="s">
        <v>329</v>
      </c>
      <c r="C59" s="307">
        <f>C57-C58</f>
        <v>1840000</v>
      </c>
      <c r="D59" s="307">
        <f>D57-D58</f>
        <v>7728000</v>
      </c>
      <c r="E59" s="341"/>
      <c r="F59" s="341"/>
      <c r="G59" s="342"/>
      <c r="H59" s="343"/>
      <c r="I59" s="343"/>
      <c r="J59" s="257" t="s">
        <v>317</v>
      </c>
      <c r="K59" s="329">
        <v>3594150.28</v>
      </c>
      <c r="L59" s="328">
        <v>8270055.1799999997</v>
      </c>
      <c r="M59" s="276">
        <v>0.85</v>
      </c>
      <c r="N59" s="360"/>
      <c r="O59" s="360"/>
      <c r="P59" s="360"/>
      <c r="Q59" s="360"/>
      <c r="R59" s="360"/>
      <c r="S59" s="448"/>
      <c r="T59" s="360"/>
    </row>
    <row r="60" spans="1:20" ht="128.25" customHeight="1" x14ac:dyDescent="0.25">
      <c r="A60" s="346" t="s">
        <v>498</v>
      </c>
      <c r="B60" s="347" t="s">
        <v>324</v>
      </c>
      <c r="C60" s="348">
        <f>'Подробно разпределение '!P22</f>
        <v>72</v>
      </c>
      <c r="D60" s="348">
        <f>'Подробно разпределение '!AD22</f>
        <v>72</v>
      </c>
      <c r="E60" s="288" t="s">
        <v>448</v>
      </c>
      <c r="F60" s="289" t="s">
        <v>449</v>
      </c>
      <c r="G60" s="269" t="s">
        <v>383</v>
      </c>
      <c r="H60" s="288" t="s">
        <v>450</v>
      </c>
      <c r="I60" s="288" t="s">
        <v>447</v>
      </c>
      <c r="J60" s="290">
        <v>179</v>
      </c>
      <c r="K60" s="332">
        <v>4172562</v>
      </c>
      <c r="L60" s="333">
        <v>9886162.3300000001</v>
      </c>
      <c r="M60" s="291"/>
      <c r="N60" s="360">
        <v>5</v>
      </c>
      <c r="O60" s="360"/>
      <c r="P60" s="360"/>
      <c r="Q60" s="360"/>
      <c r="R60" s="360"/>
      <c r="S60" s="448"/>
      <c r="T60" s="360">
        <v>1.25</v>
      </c>
    </row>
    <row r="61" spans="1:20" x14ac:dyDescent="0.25">
      <c r="A61" s="349"/>
      <c r="B61" s="311" t="s">
        <v>324</v>
      </c>
      <c r="C61" s="309">
        <v>72</v>
      </c>
      <c r="D61" s="309">
        <v>72</v>
      </c>
      <c r="E61" s="350"/>
      <c r="F61" s="350"/>
      <c r="G61" s="351"/>
      <c r="H61" s="349"/>
      <c r="I61" s="349"/>
      <c r="J61" s="292" t="s">
        <v>319</v>
      </c>
      <c r="K61" s="334">
        <v>578411.72</v>
      </c>
      <c r="L61" s="335">
        <v>1616107.15</v>
      </c>
      <c r="M61" s="293">
        <v>0.7</v>
      </c>
      <c r="N61" s="360"/>
      <c r="O61" s="360"/>
      <c r="P61" s="360"/>
      <c r="Q61" s="360"/>
      <c r="R61" s="360"/>
      <c r="S61" s="448"/>
      <c r="T61" s="360"/>
    </row>
    <row r="62" spans="1:20" ht="16.5" customHeight="1" x14ac:dyDescent="0.25">
      <c r="A62" s="349"/>
      <c r="B62" s="311" t="s">
        <v>324</v>
      </c>
      <c r="C62" s="309">
        <v>72</v>
      </c>
      <c r="D62" s="309">
        <v>72</v>
      </c>
      <c r="E62" s="350"/>
      <c r="F62" s="350"/>
      <c r="G62" s="351"/>
      <c r="H62" s="349"/>
      <c r="I62" s="349"/>
      <c r="J62" s="292" t="s">
        <v>317</v>
      </c>
      <c r="K62" s="334">
        <v>3594150.28</v>
      </c>
      <c r="L62" s="335">
        <v>8270055.1799999997</v>
      </c>
      <c r="M62" s="293">
        <v>0.85</v>
      </c>
      <c r="N62" s="360"/>
      <c r="O62" s="360"/>
      <c r="P62" s="360"/>
      <c r="Q62" s="360"/>
      <c r="R62" s="360"/>
      <c r="S62" s="448"/>
      <c r="T62" s="360"/>
    </row>
    <row r="63" spans="1:20" x14ac:dyDescent="0.2">
      <c r="N63" s="367">
        <f>SUM(N3:N62)</f>
        <v>100</v>
      </c>
      <c r="O63" s="367">
        <f t="shared" ref="O63:T63" si="0">SUM(O3:O62)</f>
        <v>100</v>
      </c>
      <c r="P63" s="367">
        <f t="shared" si="0"/>
        <v>100</v>
      </c>
      <c r="Q63" s="367">
        <f t="shared" si="0"/>
        <v>100</v>
      </c>
      <c r="R63" s="367">
        <f t="shared" si="0"/>
        <v>100</v>
      </c>
      <c r="S63" s="367">
        <f t="shared" si="0"/>
        <v>100</v>
      </c>
      <c r="T63" s="458">
        <f t="shared" si="0"/>
        <v>100</v>
      </c>
    </row>
    <row r="64" spans="1:20" x14ac:dyDescent="0.2">
      <c r="K64" s="301">
        <f>+K3+K6+K9+K12+K15+K18+K21+K24+K27+K30+K33+K36+K39+K42+K45+K48+K51+K54+K57+K60</f>
        <v>100279500</v>
      </c>
      <c r="L64" s="361">
        <f>+L3+L6+L9+L12+L15+L18+L21+L24+L27+L30+L33+L36+L39+L42+L45+L48+L51+L54+L57+L60</f>
        <v>237594891.43000004</v>
      </c>
    </row>
    <row r="66" spans="8:13" x14ac:dyDescent="0.2">
      <c r="I66" s="287"/>
    </row>
    <row r="68" spans="8:13" ht="48.75" customHeight="1" x14ac:dyDescent="0.2">
      <c r="H68" s="287"/>
      <c r="I68" s="287"/>
      <c r="J68" s="294"/>
      <c r="K68" s="295" t="s">
        <v>360</v>
      </c>
      <c r="L68" s="362" t="s">
        <v>361</v>
      </c>
    </row>
    <row r="69" spans="8:13" x14ac:dyDescent="0.2">
      <c r="I69" s="323" t="s">
        <v>349</v>
      </c>
      <c r="J69" s="296">
        <v>179</v>
      </c>
      <c r="K69" s="297">
        <f>+K48+K51+K54+K57+K60</f>
        <v>20463638.620000001</v>
      </c>
      <c r="L69" s="363">
        <f>+L48+L51+L54+L57+L60</f>
        <v>48485044.299999997</v>
      </c>
    </row>
    <row r="70" spans="8:13" ht="15.75" x14ac:dyDescent="0.25">
      <c r="H70" s="322" t="s">
        <v>454</v>
      </c>
      <c r="I70" s="324">
        <f>L3+L6+L9+L12+L15+L18+L21+L24+L27+L30</f>
        <v>128040393.37</v>
      </c>
      <c r="J70" s="296">
        <v>180</v>
      </c>
      <c r="K70" s="297">
        <f>+K9+K12+K15+K18+K21+K24+K27+K30</f>
        <v>48498324.719999999</v>
      </c>
      <c r="L70" s="363">
        <f>+L9+L12+L15+L18+L21+L24+L27+L30</f>
        <v>114908373.05</v>
      </c>
    </row>
    <row r="71" spans="8:13" ht="15.75" x14ac:dyDescent="0.25">
      <c r="H71" s="322"/>
      <c r="J71" s="298">
        <v>181</v>
      </c>
      <c r="K71" s="299">
        <f>+K3+K6+K45</f>
        <v>10904589.199999999</v>
      </c>
      <c r="L71" s="364">
        <f>+L3+L6+L45</f>
        <v>25836533.75</v>
      </c>
    </row>
    <row r="72" spans="8:13" ht="15.75" x14ac:dyDescent="0.25">
      <c r="H72" s="322" t="s">
        <v>457</v>
      </c>
      <c r="I72" s="324">
        <f>L33+L36+L39+L42</f>
        <v>48364940.329999998</v>
      </c>
      <c r="J72" s="296">
        <v>182</v>
      </c>
      <c r="K72" s="297">
        <f>+K33+K36+K39+K42</f>
        <v>20412947.460000001</v>
      </c>
      <c r="L72" s="363">
        <f>+L33+L36+L39+L42</f>
        <v>48364940.329999998</v>
      </c>
    </row>
    <row r="73" spans="8:13" x14ac:dyDescent="0.2">
      <c r="J73" s="300" t="s">
        <v>89</v>
      </c>
      <c r="K73" s="301">
        <f>+K69+K70+K71+K72</f>
        <v>100279500</v>
      </c>
      <c r="L73" s="361">
        <f>+L69+L70+L71+L72</f>
        <v>237594891.43000001</v>
      </c>
    </row>
    <row r="74" spans="8:13" ht="15.75" x14ac:dyDescent="0.25">
      <c r="H74" s="322" t="s">
        <v>456</v>
      </c>
      <c r="I74" s="324">
        <f>L45+L48</f>
        <v>20409026.859999999</v>
      </c>
      <c r="J74" s="302"/>
      <c r="K74" s="316"/>
      <c r="L74" s="316"/>
      <c r="M74" s="312"/>
    </row>
    <row r="75" spans="8:13" x14ac:dyDescent="0.2">
      <c r="J75" s="302"/>
      <c r="K75" s="287"/>
      <c r="L75" s="287"/>
    </row>
    <row r="76" spans="8:13" x14ac:dyDescent="0.2">
      <c r="J76" s="302"/>
      <c r="K76" s="287"/>
      <c r="L76" s="287"/>
    </row>
    <row r="77" spans="8:13" ht="31.5" x14ac:dyDescent="0.25">
      <c r="H77" s="322" t="s">
        <v>455</v>
      </c>
      <c r="I77" s="324">
        <f>L51+L54+L57+L60</f>
        <v>40780530.869999997</v>
      </c>
      <c r="J77" s="296" t="s">
        <v>362</v>
      </c>
      <c r="K77" s="314">
        <f>+K49+K52+K55+K58+K61</f>
        <v>2836724.3899999997</v>
      </c>
      <c r="L77" s="365">
        <f>+L49+L52+L55+L58+L61</f>
        <v>7925929.6100000013</v>
      </c>
    </row>
    <row r="78" spans="8:13" ht="24" x14ac:dyDescent="0.2">
      <c r="J78" s="296" t="s">
        <v>363</v>
      </c>
      <c r="K78" s="314">
        <f>+K50+K53+K56+K59+K62</f>
        <v>17626914.23</v>
      </c>
      <c r="L78" s="365">
        <f>+L50+L53+L56+L59+L62</f>
        <v>40559114.689999998</v>
      </c>
    </row>
    <row r="79" spans="8:13" x14ac:dyDescent="0.2">
      <c r="J79" s="296" t="s">
        <v>364</v>
      </c>
      <c r="K79" s="297">
        <f>+K10+K13+K16+K19+K22+K25+K28+K31</f>
        <v>6722967.7699999996</v>
      </c>
      <c r="L79" s="363">
        <f>+L10+L13+L16+L19+L22+L25+L28+L31</f>
        <v>18784259.960000001</v>
      </c>
    </row>
    <row r="80" spans="8:13" ht="24" x14ac:dyDescent="0.2">
      <c r="H80" s="325"/>
      <c r="J80" s="296" t="s">
        <v>365</v>
      </c>
      <c r="K80" s="297">
        <f>+K11+K14+K17+K20+K23+K26+K29+K32</f>
        <v>41775356.949999996</v>
      </c>
      <c r="L80" s="363">
        <f>+L11+L14+L17+L20+L23+L26+L29+L32</f>
        <v>96124113.090000004</v>
      </c>
    </row>
    <row r="81" spans="8:12" x14ac:dyDescent="0.2">
      <c r="H81" s="326"/>
      <c r="J81" s="296" t="s">
        <v>438</v>
      </c>
      <c r="K81" s="297">
        <f>+K4+K7+K46</f>
        <v>1511623.38</v>
      </c>
      <c r="L81" s="363">
        <f>+L4+L7+L46</f>
        <v>4223540.49</v>
      </c>
    </row>
    <row r="82" spans="8:12" ht="24" x14ac:dyDescent="0.2">
      <c r="H82" s="325"/>
      <c r="J82" s="296" t="s">
        <v>367</v>
      </c>
      <c r="K82" s="297">
        <f>+K5+K8+K47</f>
        <v>9392965.8200000003</v>
      </c>
      <c r="L82" s="363">
        <f>+L5+L8+L47</f>
        <v>21612993.259999998</v>
      </c>
    </row>
    <row r="83" spans="8:12" x14ac:dyDescent="0.2">
      <c r="H83" s="326"/>
      <c r="J83" s="296" t="s">
        <v>368</v>
      </c>
      <c r="K83" s="297">
        <f>+K34+K37+K40+K43</f>
        <v>2829697.48</v>
      </c>
      <c r="L83" s="363">
        <f>+L34+L37+L40+L43</f>
        <v>7906296.0099999998</v>
      </c>
    </row>
    <row r="84" spans="8:12" ht="24" x14ac:dyDescent="0.2">
      <c r="H84" s="325"/>
      <c r="J84" s="296" t="s">
        <v>369</v>
      </c>
      <c r="K84" s="297">
        <f>+K35+K38+K41+K44</f>
        <v>17583249.98</v>
      </c>
      <c r="L84" s="363">
        <f>+L35+L38+L41+L44</f>
        <v>40458644.32</v>
      </c>
    </row>
    <row r="85" spans="8:12" x14ac:dyDescent="0.2">
      <c r="H85" s="325"/>
      <c r="J85" s="300" t="s">
        <v>89</v>
      </c>
      <c r="K85" s="301">
        <f>SUM(K77:K84)</f>
        <v>100279500</v>
      </c>
      <c r="L85" s="361">
        <f>SUM(L77:L84)</f>
        <v>237594891.42999998</v>
      </c>
    </row>
    <row r="86" spans="8:12" x14ac:dyDescent="0.2">
      <c r="H86" s="325"/>
      <c r="J86" s="302"/>
      <c r="K86" s="303"/>
      <c r="L86" s="303"/>
    </row>
    <row r="87" spans="8:12" x14ac:dyDescent="0.2">
      <c r="H87" s="326"/>
      <c r="J87" s="302"/>
      <c r="K87" s="302"/>
      <c r="L87" s="302"/>
    </row>
    <row r="88" spans="8:12" x14ac:dyDescent="0.2">
      <c r="J88" s="111"/>
      <c r="K88" s="287"/>
      <c r="L88" s="111"/>
    </row>
    <row r="89" spans="8:12" x14ac:dyDescent="0.2">
      <c r="J89" s="302"/>
      <c r="K89" s="315" t="s">
        <v>370</v>
      </c>
      <c r="L89" s="111"/>
    </row>
    <row r="90" spans="8:12" x14ac:dyDescent="0.2">
      <c r="J90" s="296" t="s">
        <v>362</v>
      </c>
      <c r="K90" s="297">
        <v>2836724</v>
      </c>
      <c r="L90" s="366">
        <v>20463638</v>
      </c>
    </row>
    <row r="91" spans="8:12" ht="24" x14ac:dyDescent="0.2">
      <c r="J91" s="296" t="s">
        <v>363</v>
      </c>
      <c r="K91" s="297">
        <v>17626914</v>
      </c>
      <c r="L91" s="366"/>
    </row>
    <row r="92" spans="8:12" x14ac:dyDescent="0.2">
      <c r="J92" s="296" t="s">
        <v>364</v>
      </c>
      <c r="K92" s="297">
        <v>6722968</v>
      </c>
      <c r="L92" s="366">
        <v>48498325</v>
      </c>
    </row>
    <row r="93" spans="8:12" ht="24" x14ac:dyDescent="0.2">
      <c r="J93" s="296" t="s">
        <v>365</v>
      </c>
      <c r="K93" s="297">
        <v>41775357</v>
      </c>
      <c r="L93" s="366"/>
    </row>
    <row r="94" spans="8:12" x14ac:dyDescent="0.2">
      <c r="J94" s="296" t="s">
        <v>366</v>
      </c>
      <c r="K94" s="297">
        <v>1511623</v>
      </c>
      <c r="L94" s="366">
        <v>10904589</v>
      </c>
    </row>
    <row r="95" spans="8:12" ht="24" x14ac:dyDescent="0.2">
      <c r="J95" s="296" t="s">
        <v>367</v>
      </c>
      <c r="K95" s="297">
        <v>9392966</v>
      </c>
      <c r="L95" s="366"/>
    </row>
    <row r="96" spans="8:12" x14ac:dyDescent="0.2">
      <c r="J96" s="296" t="s">
        <v>368</v>
      </c>
      <c r="K96" s="297">
        <v>2829698</v>
      </c>
      <c r="L96" s="366">
        <v>20412948</v>
      </c>
    </row>
    <row r="97" spans="1:12" ht="24" x14ac:dyDescent="0.2">
      <c r="J97" s="296" t="s">
        <v>369</v>
      </c>
      <c r="K97" s="297">
        <v>17583250</v>
      </c>
      <c r="L97" s="366"/>
    </row>
    <row r="98" spans="1:12" x14ac:dyDescent="0.2">
      <c r="A98" s="111"/>
      <c r="B98" s="260"/>
      <c r="C98" s="268"/>
      <c r="D98" s="268"/>
      <c r="E98" s="111"/>
      <c r="F98" s="112"/>
      <c r="G98" s="270"/>
      <c r="H98" s="111"/>
      <c r="I98" s="111"/>
      <c r="J98" s="300" t="s">
        <v>89</v>
      </c>
      <c r="K98" s="301">
        <f>SUM(K90:K97)</f>
        <v>100279500</v>
      </c>
      <c r="L98" s="361">
        <f>SUM(L90:L97)</f>
        <v>100279500</v>
      </c>
    </row>
    <row r="99" spans="1:12" x14ac:dyDescent="0.2">
      <c r="A99" s="317"/>
      <c r="B99" s="318"/>
      <c r="C99" s="319"/>
      <c r="D99" s="319"/>
      <c r="E99" s="317"/>
      <c r="F99" s="320"/>
      <c r="G99" s="321"/>
      <c r="H99" s="317"/>
      <c r="I99" s="317"/>
      <c r="J99" s="317"/>
      <c r="K99" s="317"/>
      <c r="L99" s="317"/>
    </row>
    <row r="100" spans="1:12" x14ac:dyDescent="0.2">
      <c r="J100" s="455" t="s">
        <v>319</v>
      </c>
      <c r="K100" s="296">
        <f>+K90+K92+K94+K96</f>
        <v>13901013</v>
      </c>
      <c r="L100" s="317"/>
    </row>
    <row r="101" spans="1:12" x14ac:dyDescent="0.2">
      <c r="J101" s="456" t="s">
        <v>458</v>
      </c>
      <c r="K101" s="457">
        <f>+K91+K93+K95+K97</f>
        <v>86378487</v>
      </c>
      <c r="L101" s="317"/>
    </row>
  </sheetData>
  <autoFilter ref="A1:M64"/>
  <customSheetViews>
    <customSheetView guid="{B426F9F8-EB1A-4D7B-9478-7E22D414CC12}" scale="130" showPageBreaks="1" fitToPage="1" printArea="1" showAutoFilter="1">
      <pane ySplit="1" topLeftCell="A50" activePane="bottomLeft" state="frozen"/>
      <selection pane="bottomLeft" activeCell="E54" sqref="E54"/>
      <pageMargins left="0.25" right="0.25" top="0.75" bottom="0.75" header="0.3" footer="0.3"/>
      <pageSetup paperSize="9" scale="36" fitToHeight="0" orientation="landscape" r:id="rId1"/>
      <autoFilter ref="A1:M64"/>
    </customSheetView>
    <customSheetView guid="{56BC42A3-D967-4F27-BD5A-CB0B8CB7F657}" scale="150" showPageBreaks="1" fitToPage="1" printArea="1" showAutoFilter="1">
      <pane xSplit="4" ySplit="2" topLeftCell="I51" activePane="bottomRight" state="frozen"/>
      <selection pane="bottomRight" activeCell="I51" sqref="I51"/>
      <pageMargins left="0.25" right="0.25" top="0.75" bottom="0.75" header="0.3" footer="0.3"/>
      <pageSetup paperSize="9" scale="92" fitToHeight="0" orientation="landscape" r:id="rId2"/>
      <autoFilter ref="A1:M68"/>
    </customSheetView>
    <customSheetView guid="{D1BD168D-40B4-46AB-88B7-64C22520CFA0}" scale="120" showPageBreaks="1" fitToPage="1" printArea="1" showAutoFilter="1">
      <pane xSplit="4" ySplit="2" topLeftCell="E52" activePane="bottomRight" state="frozen"/>
      <selection pane="bottomRight" activeCell="A57" sqref="A57"/>
      <pageMargins left="0.25" right="0.25" top="0.75" bottom="0.75" header="0.3" footer="0.3"/>
      <pageSetup paperSize="9" fitToHeight="0" orientation="landscape" r:id="rId3"/>
      <autoFilter ref="A1:M72"/>
    </customSheetView>
    <customSheetView guid="{AD504361-49F3-4986-BDBF-FB73E2299976}" scale="120" fitToPage="1" showAutoFilter="1">
      <pane xSplit="4" ySplit="2" topLeftCell="E52" activePane="bottomRight" state="frozen"/>
      <selection pane="bottomRight" activeCell="A57" sqref="A57"/>
      <pageMargins left="0.25" right="0.25" top="0.75" bottom="0.75" header="0.3" footer="0.3"/>
      <pageSetup paperSize="9" fitToHeight="0" orientation="landscape" r:id="rId4"/>
      <autoFilter ref="A1:M72"/>
    </customSheetView>
    <customSheetView guid="{2A6315F5-C9A2-43A7-B337-00FD30A3EB26}" scale="110" showPageBreaks="1" fitToPage="1" printArea="1" showAutoFilter="1">
      <pane xSplit="7" ySplit="1" topLeftCell="H2" activePane="bottomRight" state="frozen"/>
      <selection pane="bottomRight"/>
      <pageMargins left="0.25" right="0.25" top="0.75" bottom="0.75" header="0.3" footer="0.3"/>
      <pageSetup paperSize="9" scale="73" fitToHeight="0" orientation="landscape" r:id="rId5"/>
      <autoFilter ref="G1:O67"/>
    </customSheetView>
    <customSheetView guid="{77799D3C-38E2-410A-80FA-AECD8E6AB89B}" scale="120" showPageBreaks="1" fitToPage="1" printArea="1" showAutoFilter="1">
      <pane xSplit="4" ySplit="2" topLeftCell="J33" activePane="bottomRight" state="frozen"/>
      <selection pane="bottomRight" activeCell="U36" sqref="U36"/>
      <pageMargins left="0.25" right="0.25" top="0.75" bottom="0.75" header="0.3" footer="0.3"/>
      <pageSetup paperSize="9" scale="92" fitToHeight="0" orientation="landscape" r:id="rId6"/>
      <autoFilter ref="A1:M70"/>
    </customSheetView>
    <customSheetView guid="{13EBDE9D-EC74-4522-9EED-363E735B4A78}" scale="120" showPageBreaks="1" fitToPage="1" printArea="1" showAutoFilter="1">
      <pane xSplit="4" ySplit="2.8802083333333335" topLeftCell="J31" activePane="bottomRight"/>
      <selection pane="bottomRight" activeCell="K69" sqref="K69"/>
      <pageMargins left="0.25" right="0.25" top="0.75" bottom="0.75" header="0.3" footer="0.3"/>
      <pageSetup paperSize="9" scale="92" fitToHeight="0" orientation="landscape" r:id="rId7"/>
      <autoFilter ref="A1:M64"/>
    </customSheetView>
    <customSheetView guid="{32A281B9-28FB-4D0E-8C01-BFBADAC8C3C9}" scale="85" showPageBreaks="1" fitToPage="1" printArea="1" showAutoFilter="1">
      <pane xSplit="1" ySplit="1" topLeftCell="B52" activePane="bottomRight" state="frozen"/>
      <selection pane="bottomRight" activeCell="A54" sqref="A54"/>
      <pageMargins left="0.25" right="0.25" top="0.75" bottom="0.75" header="0.3" footer="0.3"/>
      <pageSetup paperSize="9" scale="92" fitToHeight="0" orientation="landscape" r:id="rId8"/>
      <autoFilter ref="A1:M64"/>
    </customSheetView>
  </customSheetViews>
  <pageMargins left="0.25" right="0.25" top="0.75" bottom="0.75" header="0.3" footer="0.3"/>
  <pageSetup paperSize="9" scale="92" fitToHeight="0" orientation="landscape"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zoomScale="70" zoomScaleNormal="70" workbookViewId="0">
      <selection activeCell="AE4" sqref="AE4"/>
    </sheetView>
  </sheetViews>
  <sheetFormatPr defaultColWidth="9.140625" defaultRowHeight="15" x14ac:dyDescent="0.25"/>
  <cols>
    <col min="1" max="1" width="14.5703125" style="132" customWidth="1"/>
    <col min="2" max="2" width="45.7109375" style="133" customWidth="1"/>
    <col min="3" max="3" width="11.42578125" style="135" customWidth="1"/>
    <col min="4" max="4" width="6.85546875" style="135" customWidth="1"/>
    <col min="5" max="5" width="6.42578125" style="135" bestFit="1" customWidth="1"/>
    <col min="6" max="6" width="7" style="135" bestFit="1" customWidth="1"/>
    <col min="7" max="7" width="7.140625" style="135" customWidth="1"/>
    <col min="8" max="8" width="7.42578125" style="135" customWidth="1"/>
    <col min="9" max="9" width="6" style="135" bestFit="1" customWidth="1"/>
    <col min="10" max="10" width="6.5703125" style="136" bestFit="1" customWidth="1"/>
    <col min="11" max="11" width="6.42578125" style="136" customWidth="1"/>
    <col min="12" max="12" width="6.7109375" style="135" bestFit="1" customWidth="1"/>
    <col min="13" max="13" width="8.7109375" style="135" customWidth="1"/>
    <col min="14" max="15" width="6.5703125" style="135" customWidth="1"/>
    <col min="16" max="16" width="11" style="135" customWidth="1"/>
    <col min="17" max="17" width="10" style="135" customWidth="1"/>
    <col min="18" max="19" width="6.7109375" style="135" customWidth="1"/>
    <col min="20" max="22" width="7" style="135" customWidth="1"/>
    <col min="23" max="23" width="6.42578125" style="135" bestFit="1" customWidth="1"/>
    <col min="24" max="24" width="5.7109375" style="136" customWidth="1"/>
    <col min="25" max="25" width="6.28515625" style="136" customWidth="1"/>
    <col min="26" max="26" width="6.5703125" style="135" customWidth="1"/>
    <col min="27" max="27" width="7.5703125" style="135" customWidth="1"/>
    <col min="28" max="28" width="5.5703125" style="135" customWidth="1"/>
    <col min="29" max="29" width="7.140625" style="135" customWidth="1"/>
    <col min="30" max="30" width="11.5703125" style="135" customWidth="1"/>
    <col min="31" max="16384" width="9.140625" style="128"/>
  </cols>
  <sheetData>
    <row r="1" spans="1:30" x14ac:dyDescent="0.25">
      <c r="A1" s="409" t="s">
        <v>75</v>
      </c>
      <c r="B1" s="411" t="s">
        <v>76</v>
      </c>
      <c r="C1" s="413" t="s">
        <v>77</v>
      </c>
      <c r="D1" s="413"/>
      <c r="E1" s="413"/>
      <c r="F1" s="413"/>
      <c r="G1" s="413"/>
      <c r="H1" s="413"/>
      <c r="I1" s="413"/>
      <c r="J1" s="413"/>
      <c r="K1" s="413"/>
      <c r="L1" s="413"/>
      <c r="M1" s="413"/>
      <c r="N1" s="413"/>
      <c r="O1" s="413"/>
      <c r="P1" s="413"/>
      <c r="Q1" s="414" t="s">
        <v>328</v>
      </c>
      <c r="R1" s="413"/>
      <c r="S1" s="413"/>
      <c r="T1" s="413"/>
      <c r="U1" s="413"/>
      <c r="V1" s="413"/>
      <c r="W1" s="413"/>
      <c r="X1" s="413"/>
      <c r="Y1" s="413"/>
      <c r="Z1" s="413"/>
      <c r="AA1" s="413"/>
      <c r="AB1" s="413"/>
      <c r="AC1" s="413"/>
      <c r="AD1" s="413"/>
    </row>
    <row r="2" spans="1:30" ht="48" x14ac:dyDescent="0.25">
      <c r="A2" s="410"/>
      <c r="B2" s="412"/>
      <c r="C2" s="167" t="s">
        <v>78</v>
      </c>
      <c r="D2" s="167" t="s">
        <v>79</v>
      </c>
      <c r="E2" s="167" t="s">
        <v>80</v>
      </c>
      <c r="F2" s="167" t="s">
        <v>81</v>
      </c>
      <c r="G2" s="167" t="s">
        <v>82</v>
      </c>
      <c r="H2" s="167" t="s">
        <v>318</v>
      </c>
      <c r="I2" s="167" t="s">
        <v>83</v>
      </c>
      <c r="J2" s="167" t="s">
        <v>84</v>
      </c>
      <c r="K2" s="167" t="s">
        <v>85</v>
      </c>
      <c r="L2" s="167" t="s">
        <v>86</v>
      </c>
      <c r="M2" s="167" t="s">
        <v>87</v>
      </c>
      <c r="N2" s="167" t="s">
        <v>88</v>
      </c>
      <c r="O2" s="167" t="s">
        <v>338</v>
      </c>
      <c r="P2" s="168" t="s">
        <v>89</v>
      </c>
      <c r="Q2" s="167" t="s">
        <v>90</v>
      </c>
      <c r="R2" s="167" t="s">
        <v>91</v>
      </c>
      <c r="S2" s="167" t="s">
        <v>92</v>
      </c>
      <c r="T2" s="167" t="s">
        <v>93</v>
      </c>
      <c r="U2" s="167" t="s">
        <v>94</v>
      </c>
      <c r="V2" s="167" t="s">
        <v>318</v>
      </c>
      <c r="W2" s="167" t="s">
        <v>95</v>
      </c>
      <c r="X2" s="167" t="s">
        <v>337</v>
      </c>
      <c r="Y2" s="167" t="s">
        <v>96</v>
      </c>
      <c r="Z2" s="167" t="s">
        <v>97</v>
      </c>
      <c r="AA2" s="167" t="s">
        <v>98</v>
      </c>
      <c r="AB2" s="167" t="s">
        <v>99</v>
      </c>
      <c r="AC2" s="167" t="s">
        <v>338</v>
      </c>
      <c r="AD2" s="168" t="s">
        <v>100</v>
      </c>
    </row>
    <row r="3" spans="1:30" ht="30" x14ac:dyDescent="0.25">
      <c r="A3" s="174" t="s">
        <v>101</v>
      </c>
      <c r="B3" s="174" t="s">
        <v>333</v>
      </c>
      <c r="C3" s="169">
        <v>11</v>
      </c>
      <c r="D3" s="169">
        <v>6</v>
      </c>
      <c r="E3" s="169"/>
      <c r="F3" s="169">
        <v>3</v>
      </c>
      <c r="G3" s="169"/>
      <c r="H3" s="169">
        <v>3</v>
      </c>
      <c r="I3" s="169"/>
      <c r="J3" s="170"/>
      <c r="K3" s="170"/>
      <c r="L3" s="169"/>
      <c r="M3" s="169"/>
      <c r="N3" s="169"/>
      <c r="O3" s="169"/>
      <c r="P3" s="171">
        <f>SUM(C3:O3)</f>
        <v>23</v>
      </c>
      <c r="Q3" s="169">
        <v>28</v>
      </c>
      <c r="R3" s="169">
        <v>16</v>
      </c>
      <c r="S3" s="169"/>
      <c r="T3" s="169">
        <v>14</v>
      </c>
      <c r="U3" s="169"/>
      <c r="V3" s="169">
        <v>8</v>
      </c>
      <c r="W3" s="170"/>
      <c r="X3" s="170"/>
      <c r="Y3" s="170"/>
      <c r="Z3" s="169"/>
      <c r="AA3" s="169"/>
      <c r="AB3" s="169"/>
      <c r="AC3" s="169"/>
      <c r="AD3" s="171">
        <f>SUM(Q3:AC3)</f>
        <v>66</v>
      </c>
    </row>
    <row r="4" spans="1:30" x14ac:dyDescent="0.25">
      <c r="A4" s="174" t="s">
        <v>332</v>
      </c>
      <c r="B4" s="174" t="s">
        <v>373</v>
      </c>
      <c r="C4" s="169"/>
      <c r="D4" s="169"/>
      <c r="E4" s="169"/>
      <c r="F4" s="169"/>
      <c r="G4" s="169"/>
      <c r="H4" s="169"/>
      <c r="I4" s="169">
        <v>1</v>
      </c>
      <c r="J4" s="170"/>
      <c r="K4" s="170"/>
      <c r="L4" s="169"/>
      <c r="M4" s="169"/>
      <c r="N4" s="169">
        <v>1</v>
      </c>
      <c r="O4" s="169"/>
      <c r="P4" s="171">
        <f t="shared" ref="P4:P22" si="0">SUM(C4:O4)</f>
        <v>2</v>
      </c>
      <c r="Q4" s="169">
        <v>2</v>
      </c>
      <c r="R4" s="169"/>
      <c r="S4" s="169"/>
      <c r="T4" s="169"/>
      <c r="U4" s="169"/>
      <c r="V4" s="169"/>
      <c r="W4" s="170">
        <v>4</v>
      </c>
      <c r="X4" s="170"/>
      <c r="Y4" s="170"/>
      <c r="Z4" s="169"/>
      <c r="AA4" s="169"/>
      <c r="AB4" s="169">
        <v>1</v>
      </c>
      <c r="AC4" s="169"/>
      <c r="AD4" s="171">
        <f t="shared" ref="AD4:AD22" si="1">SUM(Q4:AC4)</f>
        <v>7</v>
      </c>
    </row>
    <row r="5" spans="1:30" ht="30" x14ac:dyDescent="0.25">
      <c r="A5" s="174" t="s">
        <v>335</v>
      </c>
      <c r="B5" s="174" t="s">
        <v>374</v>
      </c>
      <c r="C5" s="169">
        <v>13</v>
      </c>
      <c r="D5" s="169"/>
      <c r="E5" s="169">
        <v>5</v>
      </c>
      <c r="F5" s="169">
        <v>4</v>
      </c>
      <c r="G5" s="169">
        <v>3</v>
      </c>
      <c r="H5" s="169"/>
      <c r="I5" s="169"/>
      <c r="J5" s="170"/>
      <c r="K5" s="170"/>
      <c r="L5" s="169"/>
      <c r="M5" s="169"/>
      <c r="N5" s="169"/>
      <c r="O5" s="169"/>
      <c r="P5" s="171">
        <f t="shared" si="0"/>
        <v>25</v>
      </c>
      <c r="Q5" s="169">
        <v>24</v>
      </c>
      <c r="R5" s="169"/>
      <c r="S5" s="169">
        <v>9</v>
      </c>
      <c r="T5" s="169">
        <v>3</v>
      </c>
      <c r="U5" s="169">
        <v>8</v>
      </c>
      <c r="V5" s="169"/>
      <c r="W5" s="169"/>
      <c r="X5" s="170"/>
      <c r="Y5" s="170"/>
      <c r="Z5" s="169"/>
      <c r="AA5" s="169"/>
      <c r="AB5" s="169"/>
      <c r="AC5" s="169"/>
      <c r="AD5" s="171">
        <f t="shared" si="1"/>
        <v>44</v>
      </c>
    </row>
    <row r="6" spans="1:30" ht="30" x14ac:dyDescent="0.25">
      <c r="A6" s="174" t="s">
        <v>336</v>
      </c>
      <c r="B6" s="174" t="s">
        <v>102</v>
      </c>
      <c r="C6" s="169"/>
      <c r="D6" s="169">
        <v>72</v>
      </c>
      <c r="E6" s="169">
        <v>118</v>
      </c>
      <c r="F6" s="169">
        <v>63</v>
      </c>
      <c r="G6" s="169">
        <v>240</v>
      </c>
      <c r="H6" s="169"/>
      <c r="I6" s="169"/>
      <c r="J6" s="170"/>
      <c r="K6" s="170"/>
      <c r="L6" s="169"/>
      <c r="M6" s="169"/>
      <c r="N6" s="169"/>
      <c r="O6" s="169"/>
      <c r="P6" s="171">
        <f>SUM(C6:O6)</f>
        <v>493</v>
      </c>
      <c r="Q6" s="172"/>
      <c r="R6" s="173">
        <v>216</v>
      </c>
      <c r="S6" s="169">
        <v>610</v>
      </c>
      <c r="T6" s="169">
        <v>173</v>
      </c>
      <c r="U6" s="169">
        <v>720</v>
      </c>
      <c r="V6" s="169"/>
      <c r="W6" s="169"/>
      <c r="X6" s="169"/>
      <c r="Y6" s="169"/>
      <c r="Z6" s="170"/>
      <c r="AA6" s="170"/>
      <c r="AB6" s="169"/>
      <c r="AC6" s="169"/>
      <c r="AD6" s="171">
        <f>SUM(Q6:AC6)</f>
        <v>1719</v>
      </c>
    </row>
    <row r="7" spans="1:30" ht="45" x14ac:dyDescent="0.25">
      <c r="A7" s="174" t="s">
        <v>387</v>
      </c>
      <c r="B7" s="174" t="s">
        <v>382</v>
      </c>
      <c r="C7" s="169"/>
      <c r="D7" s="169"/>
      <c r="E7" s="169"/>
      <c r="F7" s="169"/>
      <c r="G7" s="169">
        <v>46</v>
      </c>
      <c r="H7" s="169"/>
      <c r="I7" s="169"/>
      <c r="J7" s="170"/>
      <c r="K7" s="170"/>
      <c r="L7" s="169"/>
      <c r="M7" s="169"/>
      <c r="N7" s="169"/>
      <c r="O7" s="169"/>
      <c r="P7" s="171">
        <f>SUM(C7:O7)</f>
        <v>46</v>
      </c>
      <c r="Q7" s="172"/>
      <c r="R7" s="173"/>
      <c r="S7" s="169"/>
      <c r="T7" s="169"/>
      <c r="U7" s="169">
        <v>50</v>
      </c>
      <c r="V7" s="169"/>
      <c r="W7" s="169"/>
      <c r="X7" s="169"/>
      <c r="Y7" s="169"/>
      <c r="Z7" s="170"/>
      <c r="AA7" s="170"/>
      <c r="AB7" s="169"/>
      <c r="AC7" s="169"/>
      <c r="AD7" s="171">
        <f>SUM(Q7:AC7)</f>
        <v>50</v>
      </c>
    </row>
    <row r="8" spans="1:30" ht="30" x14ac:dyDescent="0.25">
      <c r="A8" s="174" t="s">
        <v>466</v>
      </c>
      <c r="B8" s="174" t="s">
        <v>371</v>
      </c>
      <c r="C8" s="169"/>
      <c r="D8" s="169"/>
      <c r="E8" s="169"/>
      <c r="F8" s="169"/>
      <c r="G8" s="169"/>
      <c r="H8" s="169">
        <v>0</v>
      </c>
      <c r="I8" s="169"/>
      <c r="J8" s="170"/>
      <c r="K8" s="170"/>
      <c r="L8" s="169"/>
      <c r="M8" s="169"/>
      <c r="N8" s="169"/>
      <c r="O8" s="169"/>
      <c r="P8" s="171">
        <f t="shared" si="0"/>
        <v>0</v>
      </c>
      <c r="Q8" s="172"/>
      <c r="R8" s="173"/>
      <c r="S8" s="169"/>
      <c r="T8" s="169"/>
      <c r="U8" s="169"/>
      <c r="V8" s="169">
        <v>1</v>
      </c>
      <c r="W8" s="169"/>
      <c r="X8" s="169"/>
      <c r="Y8" s="169"/>
      <c r="Z8" s="170"/>
      <c r="AA8" s="170"/>
      <c r="AB8" s="169"/>
      <c r="AC8" s="169"/>
      <c r="AD8" s="171">
        <f t="shared" si="1"/>
        <v>1</v>
      </c>
    </row>
    <row r="9" spans="1:30" x14ac:dyDescent="0.25">
      <c r="A9" s="174" t="s">
        <v>388</v>
      </c>
      <c r="B9" s="174" t="s">
        <v>103</v>
      </c>
      <c r="C9" s="169">
        <v>25</v>
      </c>
      <c r="D9" s="169"/>
      <c r="E9" s="169"/>
      <c r="F9" s="169"/>
      <c r="G9" s="169"/>
      <c r="H9" s="169"/>
      <c r="I9" s="169"/>
      <c r="J9" s="170"/>
      <c r="K9" s="170"/>
      <c r="L9" s="169"/>
      <c r="M9" s="169"/>
      <c r="N9" s="169"/>
      <c r="O9" s="169"/>
      <c r="P9" s="171">
        <f>SUM(C9:O9)</f>
        <v>25</v>
      </c>
      <c r="Q9" s="172">
        <v>75</v>
      </c>
      <c r="R9" s="173"/>
      <c r="S9" s="169"/>
      <c r="T9" s="169"/>
      <c r="U9" s="169"/>
      <c r="V9" s="169"/>
      <c r="W9" s="169"/>
      <c r="X9" s="169"/>
      <c r="Y9" s="169"/>
      <c r="Z9" s="170"/>
      <c r="AA9" s="170"/>
      <c r="AB9" s="169"/>
      <c r="AC9" s="169"/>
      <c r="AD9" s="171">
        <f>SUM(Q9:AC9)</f>
        <v>75</v>
      </c>
    </row>
    <row r="10" spans="1:30" ht="30" x14ac:dyDescent="0.25">
      <c r="A10" s="174" t="s">
        <v>467</v>
      </c>
      <c r="B10" s="174" t="s">
        <v>104</v>
      </c>
      <c r="C10" s="169">
        <v>90</v>
      </c>
      <c r="D10" s="169"/>
      <c r="E10" s="169"/>
      <c r="F10" s="169"/>
      <c r="G10" s="169"/>
      <c r="H10" s="169"/>
      <c r="I10" s="169"/>
      <c r="J10" s="170"/>
      <c r="K10" s="170"/>
      <c r="L10" s="169"/>
      <c r="M10" s="169"/>
      <c r="N10" s="169"/>
      <c r="O10" s="169"/>
      <c r="P10" s="171">
        <f>SUM(C10:O10)</f>
        <v>90</v>
      </c>
      <c r="Q10" s="172">
        <v>70</v>
      </c>
      <c r="R10" s="173"/>
      <c r="S10" s="169"/>
      <c r="T10" s="169"/>
      <c r="U10" s="169"/>
      <c r="V10" s="169"/>
      <c r="W10" s="169"/>
      <c r="X10" s="169"/>
      <c r="Y10" s="169"/>
      <c r="Z10" s="170"/>
      <c r="AA10" s="170"/>
      <c r="AB10" s="169"/>
      <c r="AC10" s="169"/>
      <c r="AD10" s="171">
        <f>SUM(Q10:AC10)</f>
        <v>70</v>
      </c>
    </row>
    <row r="11" spans="1:30" ht="30" x14ac:dyDescent="0.25">
      <c r="A11" s="174" t="s">
        <v>389</v>
      </c>
      <c r="B11" s="174" t="s">
        <v>340</v>
      </c>
      <c r="C11" s="169">
        <v>80</v>
      </c>
      <c r="D11" s="169"/>
      <c r="E11" s="169"/>
      <c r="F11" s="169"/>
      <c r="G11" s="169"/>
      <c r="H11" s="169"/>
      <c r="I11" s="169"/>
      <c r="J11" s="170"/>
      <c r="K11" s="170"/>
      <c r="L11" s="169"/>
      <c r="M11" s="169"/>
      <c r="N11" s="169"/>
      <c r="O11" s="169"/>
      <c r="P11" s="171">
        <f>SUM(C11:O11)</f>
        <v>80</v>
      </c>
      <c r="Q11" s="172">
        <v>60</v>
      </c>
      <c r="R11" s="173"/>
      <c r="S11" s="169"/>
      <c r="T11" s="169"/>
      <c r="U11" s="169"/>
      <c r="V11" s="169"/>
      <c r="W11" s="169"/>
      <c r="X11" s="169"/>
      <c r="Y11" s="169"/>
      <c r="Z11" s="170"/>
      <c r="AA11" s="170"/>
      <c r="AB11" s="169"/>
      <c r="AC11" s="169"/>
      <c r="AD11" s="171">
        <f>SUM(Q11:AC11)</f>
        <v>60</v>
      </c>
    </row>
    <row r="12" spans="1:30" ht="30" x14ac:dyDescent="0.25">
      <c r="A12" s="174" t="s">
        <v>468</v>
      </c>
      <c r="B12" s="174" t="s">
        <v>375</v>
      </c>
      <c r="C12" s="169">
        <v>59</v>
      </c>
      <c r="D12" s="169">
        <v>64</v>
      </c>
      <c r="E12" s="169">
        <v>57</v>
      </c>
      <c r="F12" s="169">
        <v>28</v>
      </c>
      <c r="G12" s="169">
        <v>59</v>
      </c>
      <c r="H12" s="169"/>
      <c r="I12" s="169">
        <v>5</v>
      </c>
      <c r="J12" s="170">
        <v>0</v>
      </c>
      <c r="K12" s="170"/>
      <c r="L12" s="169">
        <v>88</v>
      </c>
      <c r="M12" s="169"/>
      <c r="N12" s="169">
        <v>20</v>
      </c>
      <c r="O12" s="169"/>
      <c r="P12" s="171">
        <f t="shared" si="0"/>
        <v>380</v>
      </c>
      <c r="Q12" s="172">
        <v>59</v>
      </c>
      <c r="R12" s="173">
        <v>64</v>
      </c>
      <c r="S12" s="169">
        <v>57</v>
      </c>
      <c r="T12" s="169">
        <v>28</v>
      </c>
      <c r="U12" s="169">
        <v>59</v>
      </c>
      <c r="V12" s="169"/>
      <c r="W12" s="169">
        <v>5</v>
      </c>
      <c r="X12" s="169">
        <v>0</v>
      </c>
      <c r="Y12" s="169"/>
      <c r="Z12" s="170">
        <v>88</v>
      </c>
      <c r="AA12" s="170"/>
      <c r="AB12" s="169">
        <v>20</v>
      </c>
      <c r="AC12" s="169"/>
      <c r="AD12" s="171">
        <f t="shared" si="1"/>
        <v>380</v>
      </c>
    </row>
    <row r="13" spans="1:30" x14ac:dyDescent="0.25">
      <c r="A13" s="174" t="s">
        <v>390</v>
      </c>
      <c r="B13" s="174" t="s">
        <v>377</v>
      </c>
      <c r="C13" s="169">
        <f>4+1+1+2</f>
        <v>8</v>
      </c>
      <c r="D13" s="169">
        <f>2+1</f>
        <v>3</v>
      </c>
      <c r="E13" s="169"/>
      <c r="F13" s="169">
        <v>2</v>
      </c>
      <c r="G13" s="169">
        <f>2+1</f>
        <v>3</v>
      </c>
      <c r="H13" s="169">
        <f>2+1</f>
        <v>3</v>
      </c>
      <c r="I13" s="169">
        <v>1</v>
      </c>
      <c r="J13" s="170">
        <v>2</v>
      </c>
      <c r="K13" s="170"/>
      <c r="L13" s="169"/>
      <c r="M13" s="169"/>
      <c r="N13" s="169">
        <v>2</v>
      </c>
      <c r="O13" s="169">
        <v>11</v>
      </c>
      <c r="P13" s="171">
        <f>SUM(C13:O13)</f>
        <v>35</v>
      </c>
      <c r="Q13" s="172">
        <f>12+1+3+3+7</f>
        <v>26</v>
      </c>
      <c r="R13" s="173">
        <f>7+1</f>
        <v>8</v>
      </c>
      <c r="S13" s="169"/>
      <c r="T13" s="169">
        <v>7</v>
      </c>
      <c r="U13" s="169">
        <f>7+3</f>
        <v>10</v>
      </c>
      <c r="V13" s="169">
        <f>7+1</f>
        <v>8</v>
      </c>
      <c r="W13" s="169">
        <v>2</v>
      </c>
      <c r="X13" s="169">
        <v>7</v>
      </c>
      <c r="Y13" s="169"/>
      <c r="Z13" s="170"/>
      <c r="AA13" s="170"/>
      <c r="AB13" s="169">
        <v>7</v>
      </c>
      <c r="AC13" s="169">
        <v>19</v>
      </c>
      <c r="AD13" s="171">
        <f>SUM(Q13:AC13)</f>
        <v>94</v>
      </c>
    </row>
    <row r="14" spans="1:30" x14ac:dyDescent="0.25">
      <c r="A14" s="174" t="s">
        <v>391</v>
      </c>
      <c r="B14" s="174" t="s">
        <v>376</v>
      </c>
      <c r="C14" s="169">
        <f>61*3</f>
        <v>183</v>
      </c>
      <c r="D14" s="169">
        <f>64*2*3</f>
        <v>384</v>
      </c>
      <c r="E14" s="169">
        <f>120*3</f>
        <v>360</v>
      </c>
      <c r="F14" s="169">
        <f>28*3</f>
        <v>84</v>
      </c>
      <c r="G14" s="169">
        <v>45</v>
      </c>
      <c r="H14" s="169">
        <f>3*20</f>
        <v>60</v>
      </c>
      <c r="I14" s="169">
        <f>5*3</f>
        <v>15</v>
      </c>
      <c r="J14" s="170"/>
      <c r="K14" s="170"/>
      <c r="L14" s="169"/>
      <c r="M14" s="169">
        <v>300</v>
      </c>
      <c r="N14" s="169">
        <v>150</v>
      </c>
      <c r="O14" s="169">
        <v>8998.4630000000034</v>
      </c>
      <c r="P14" s="171">
        <f t="shared" si="0"/>
        <v>10579.463000000003</v>
      </c>
      <c r="Q14" s="172">
        <f>61*8</f>
        <v>488</v>
      </c>
      <c r="R14" s="169">
        <f>64*2*8</f>
        <v>1024</v>
      </c>
      <c r="S14" s="169">
        <f>120*8</f>
        <v>960</v>
      </c>
      <c r="T14" s="169">
        <f>28*8</f>
        <v>224</v>
      </c>
      <c r="U14" s="169">
        <f>120</f>
        <v>120</v>
      </c>
      <c r="V14" s="169">
        <f>8*20</f>
        <v>160</v>
      </c>
      <c r="W14" s="169">
        <f>5*8</f>
        <v>40</v>
      </c>
      <c r="X14" s="169"/>
      <c r="Y14" s="169"/>
      <c r="Z14" s="170"/>
      <c r="AA14" s="170">
        <v>300</v>
      </c>
      <c r="AB14" s="169">
        <v>400</v>
      </c>
      <c r="AC14" s="169">
        <v>15801.543333333335</v>
      </c>
      <c r="AD14" s="171">
        <f t="shared" si="1"/>
        <v>19517.543333333335</v>
      </c>
    </row>
    <row r="15" spans="1:30" ht="30" x14ac:dyDescent="0.25">
      <c r="A15" s="174" t="s">
        <v>392</v>
      </c>
      <c r="B15" s="174" t="s">
        <v>378</v>
      </c>
      <c r="C15" s="169"/>
      <c r="D15" s="169"/>
      <c r="E15" s="169"/>
      <c r="F15" s="169"/>
      <c r="G15" s="169"/>
      <c r="H15" s="169"/>
      <c r="I15" s="169"/>
      <c r="J15" s="170"/>
      <c r="K15" s="170"/>
      <c r="L15" s="169"/>
      <c r="M15" s="169"/>
      <c r="N15" s="169"/>
      <c r="O15" s="169"/>
      <c r="P15" s="171">
        <v>70</v>
      </c>
      <c r="Q15" s="172"/>
      <c r="R15" s="173"/>
      <c r="S15" s="169"/>
      <c r="T15" s="169"/>
      <c r="U15" s="169"/>
      <c r="V15" s="169"/>
      <c r="W15" s="169"/>
      <c r="X15" s="169"/>
      <c r="Y15" s="169"/>
      <c r="Z15" s="170"/>
      <c r="AA15" s="170"/>
      <c r="AB15" s="169"/>
      <c r="AC15" s="169"/>
      <c r="AD15" s="171">
        <v>80</v>
      </c>
    </row>
    <row r="16" spans="1:30" x14ac:dyDescent="0.25">
      <c r="A16" s="174" t="s">
        <v>393</v>
      </c>
      <c r="B16" s="174" t="s">
        <v>379</v>
      </c>
      <c r="C16" s="169"/>
      <c r="D16" s="169"/>
      <c r="E16" s="169"/>
      <c r="F16" s="169"/>
      <c r="G16" s="169"/>
      <c r="H16" s="169"/>
      <c r="I16" s="169"/>
      <c r="J16" s="169"/>
      <c r="K16" s="169">
        <v>45</v>
      </c>
      <c r="L16" s="169"/>
      <c r="M16" s="169"/>
      <c r="N16" s="169"/>
      <c r="O16" s="169"/>
      <c r="P16" s="171">
        <f t="shared" si="0"/>
        <v>45</v>
      </c>
      <c r="Q16" s="172"/>
      <c r="R16" s="173"/>
      <c r="S16" s="169"/>
      <c r="T16" s="169"/>
      <c r="U16" s="169"/>
      <c r="V16" s="169"/>
      <c r="W16" s="169"/>
      <c r="X16" s="169">
        <v>60</v>
      </c>
      <c r="Y16" s="169">
        <v>160</v>
      </c>
      <c r="Z16" s="170"/>
      <c r="AA16" s="170"/>
      <c r="AB16" s="169"/>
      <c r="AC16" s="169"/>
      <c r="AD16" s="171">
        <f t="shared" si="1"/>
        <v>220</v>
      </c>
    </row>
    <row r="17" spans="1:30" ht="30" x14ac:dyDescent="0.25">
      <c r="A17" s="174" t="s">
        <v>394</v>
      </c>
      <c r="B17" s="174" t="s">
        <v>380</v>
      </c>
      <c r="C17" s="169"/>
      <c r="D17" s="169"/>
      <c r="E17" s="169"/>
      <c r="F17" s="169"/>
      <c r="G17" s="169"/>
      <c r="H17" s="169"/>
      <c r="I17" s="169"/>
      <c r="J17" s="169"/>
      <c r="K17" s="169"/>
      <c r="L17" s="169"/>
      <c r="M17" s="169"/>
      <c r="N17" s="169"/>
      <c r="O17" s="169"/>
      <c r="P17" s="171">
        <f t="shared" si="0"/>
        <v>0</v>
      </c>
      <c r="Q17" s="172"/>
      <c r="R17" s="173"/>
      <c r="S17" s="169"/>
      <c r="T17" s="169"/>
      <c r="U17" s="169"/>
      <c r="V17" s="169"/>
      <c r="W17" s="169"/>
      <c r="X17" s="169"/>
      <c r="Y17" s="169">
        <v>240</v>
      </c>
      <c r="Z17" s="170"/>
      <c r="AA17" s="170"/>
      <c r="AB17" s="169"/>
      <c r="AC17" s="169"/>
      <c r="AD17" s="171">
        <f t="shared" si="1"/>
        <v>240</v>
      </c>
    </row>
    <row r="18" spans="1:30" ht="30" x14ac:dyDescent="0.25">
      <c r="A18" s="174" t="s">
        <v>395</v>
      </c>
      <c r="B18" s="174" t="s">
        <v>381</v>
      </c>
      <c r="C18" s="169"/>
      <c r="D18" s="169"/>
      <c r="E18" s="169"/>
      <c r="F18" s="169"/>
      <c r="G18" s="169"/>
      <c r="H18" s="169"/>
      <c r="I18" s="169"/>
      <c r="J18" s="169"/>
      <c r="K18" s="169"/>
      <c r="L18" s="169"/>
      <c r="M18" s="169"/>
      <c r="N18" s="169"/>
      <c r="O18" s="169"/>
      <c r="P18" s="171">
        <f t="shared" si="0"/>
        <v>0</v>
      </c>
      <c r="Q18" s="172"/>
      <c r="R18" s="173"/>
      <c r="S18" s="169"/>
      <c r="T18" s="169"/>
      <c r="U18" s="169"/>
      <c r="V18" s="169"/>
      <c r="W18" s="169"/>
      <c r="X18" s="169"/>
      <c r="Y18" s="169">
        <v>140</v>
      </c>
      <c r="Z18" s="170"/>
      <c r="AA18" s="170"/>
      <c r="AB18" s="169"/>
      <c r="AC18" s="169"/>
      <c r="AD18" s="171">
        <f t="shared" si="1"/>
        <v>140</v>
      </c>
    </row>
    <row r="19" spans="1:30" x14ac:dyDescent="0.25">
      <c r="A19" s="174" t="s">
        <v>396</v>
      </c>
      <c r="B19" s="174" t="s">
        <v>105</v>
      </c>
      <c r="C19" s="169"/>
      <c r="D19" s="169"/>
      <c r="E19" s="169"/>
      <c r="F19" s="169"/>
      <c r="G19" s="169"/>
      <c r="H19" s="169"/>
      <c r="I19" s="169"/>
      <c r="J19" s="170">
        <v>12</v>
      </c>
      <c r="K19" s="170"/>
      <c r="L19" s="169">
        <f>1*265+1*2*27</f>
        <v>319</v>
      </c>
      <c r="M19" s="169"/>
      <c r="N19" s="169">
        <v>3</v>
      </c>
      <c r="O19" s="169"/>
      <c r="P19" s="171">
        <f t="shared" si="0"/>
        <v>334</v>
      </c>
      <c r="Q19" s="172"/>
      <c r="R19" s="173"/>
      <c r="S19" s="169"/>
      <c r="T19" s="169"/>
      <c r="U19" s="169"/>
      <c r="V19" s="169"/>
      <c r="W19" s="169"/>
      <c r="X19" s="169">
        <v>36</v>
      </c>
      <c r="Y19" s="169">
        <v>70</v>
      </c>
      <c r="Z19" s="170">
        <f>7*265+7*2*27</f>
        <v>2233</v>
      </c>
      <c r="AA19" s="170"/>
      <c r="AB19" s="169">
        <v>9</v>
      </c>
      <c r="AC19" s="169"/>
      <c r="AD19" s="171">
        <f t="shared" si="1"/>
        <v>2348</v>
      </c>
    </row>
    <row r="20" spans="1:30" x14ac:dyDescent="0.25">
      <c r="A20" s="174" t="s">
        <v>397</v>
      </c>
      <c r="B20" s="174" t="s">
        <v>106</v>
      </c>
      <c r="C20" s="169">
        <v>1000000</v>
      </c>
      <c r="D20" s="169"/>
      <c r="E20" s="169"/>
      <c r="F20" s="169"/>
      <c r="G20" s="169"/>
      <c r="H20" s="169"/>
      <c r="I20" s="169"/>
      <c r="J20" s="170"/>
      <c r="K20" s="170"/>
      <c r="L20" s="169"/>
      <c r="M20" s="169"/>
      <c r="N20" s="169"/>
      <c r="O20" s="169"/>
      <c r="P20" s="171">
        <f t="shared" si="0"/>
        <v>1000000</v>
      </c>
      <c r="Q20" s="172">
        <v>1000000</v>
      </c>
      <c r="R20" s="173"/>
      <c r="S20" s="169"/>
      <c r="T20" s="169"/>
      <c r="U20" s="169"/>
      <c r="V20" s="169"/>
      <c r="W20" s="169"/>
      <c r="X20" s="169"/>
      <c r="Y20" s="169"/>
      <c r="Z20" s="170"/>
      <c r="AA20" s="170"/>
      <c r="AB20" s="169"/>
      <c r="AC20" s="169"/>
      <c r="AD20" s="171">
        <f t="shared" si="1"/>
        <v>1000000</v>
      </c>
    </row>
    <row r="21" spans="1:30" ht="21" customHeight="1" x14ac:dyDescent="0.25">
      <c r="A21" s="174" t="s">
        <v>398</v>
      </c>
      <c r="B21" s="174" t="s">
        <v>107</v>
      </c>
      <c r="C21" s="169">
        <v>2160000</v>
      </c>
      <c r="D21" s="169"/>
      <c r="E21" s="169"/>
      <c r="F21" s="169"/>
      <c r="G21" s="169"/>
      <c r="H21" s="169"/>
      <c r="I21" s="169"/>
      <c r="J21" s="170"/>
      <c r="K21" s="170"/>
      <c r="L21" s="169"/>
      <c r="M21" s="169"/>
      <c r="N21" s="169"/>
      <c r="O21" s="169"/>
      <c r="P21" s="171">
        <f t="shared" si="0"/>
        <v>2160000</v>
      </c>
      <c r="Q21" s="172">
        <v>9072000</v>
      </c>
      <c r="R21" s="173"/>
      <c r="S21" s="169"/>
      <c r="T21" s="169"/>
      <c r="U21" s="169"/>
      <c r="V21" s="169"/>
      <c r="W21" s="169"/>
      <c r="X21" s="169"/>
      <c r="Y21" s="169"/>
      <c r="Z21" s="170"/>
      <c r="AA21" s="170"/>
      <c r="AB21" s="169"/>
      <c r="AC21" s="169"/>
      <c r="AD21" s="171">
        <f t="shared" si="1"/>
        <v>9072000</v>
      </c>
    </row>
    <row r="22" spans="1:30" ht="45" x14ac:dyDescent="0.25">
      <c r="A22" s="174" t="s">
        <v>399</v>
      </c>
      <c r="B22" s="174" t="s">
        <v>108</v>
      </c>
      <c r="C22" s="169">
        <v>72</v>
      </c>
      <c r="D22" s="169"/>
      <c r="E22" s="169"/>
      <c r="F22" s="169"/>
      <c r="G22" s="169"/>
      <c r="H22" s="169"/>
      <c r="I22" s="169"/>
      <c r="J22" s="170"/>
      <c r="K22" s="170"/>
      <c r="L22" s="169"/>
      <c r="M22" s="169"/>
      <c r="N22" s="169"/>
      <c r="O22" s="169"/>
      <c r="P22" s="171">
        <f t="shared" si="0"/>
        <v>72</v>
      </c>
      <c r="Q22" s="172">
        <v>72</v>
      </c>
      <c r="R22" s="173"/>
      <c r="S22" s="169"/>
      <c r="T22" s="169"/>
      <c r="U22" s="169"/>
      <c r="V22" s="169"/>
      <c r="W22" s="169"/>
      <c r="X22" s="169"/>
      <c r="Y22" s="169"/>
      <c r="Z22" s="170"/>
      <c r="AA22" s="170"/>
      <c r="AB22" s="169"/>
      <c r="AC22" s="169"/>
      <c r="AD22" s="171">
        <f t="shared" si="1"/>
        <v>72</v>
      </c>
    </row>
    <row r="25" spans="1:30" x14ac:dyDescent="0.25">
      <c r="B25" s="261"/>
      <c r="C25" s="262"/>
      <c r="D25" s="262"/>
      <c r="E25" s="262"/>
      <c r="F25" s="262"/>
      <c r="G25" s="262"/>
      <c r="H25" s="262"/>
      <c r="I25" s="262"/>
      <c r="J25" s="263"/>
    </row>
    <row r="26" spans="1:30" x14ac:dyDescent="0.25">
      <c r="B26" s="261"/>
      <c r="C26" s="262"/>
      <c r="D26" s="262"/>
      <c r="E26" s="262"/>
      <c r="F26" s="263"/>
      <c r="G26" s="136"/>
      <c r="J26" s="135"/>
      <c r="K26" s="135"/>
      <c r="T26" s="136"/>
      <c r="U26" s="136"/>
      <c r="X26" s="135"/>
      <c r="Y26" s="135"/>
      <c r="AA26" s="128"/>
      <c r="AB26" s="128"/>
      <c r="AC26" s="128"/>
      <c r="AD26" s="128"/>
    </row>
    <row r="27" spans="1:30" x14ac:dyDescent="0.25">
      <c r="B27" s="261"/>
      <c r="C27" s="262"/>
      <c r="D27" s="262"/>
      <c r="E27" s="263"/>
      <c r="F27" s="136"/>
      <c r="J27" s="135"/>
      <c r="K27" s="135"/>
      <c r="S27" s="136"/>
      <c r="T27" s="136"/>
      <c r="X27" s="135"/>
      <c r="Y27" s="135"/>
      <c r="Z27" s="128"/>
      <c r="AA27" s="128"/>
      <c r="AB27" s="128"/>
      <c r="AC27" s="128"/>
      <c r="AD27" s="128"/>
    </row>
    <row r="28" spans="1:30" x14ac:dyDescent="0.25">
      <c r="B28" s="261"/>
      <c r="C28" s="262"/>
      <c r="D28" s="262"/>
      <c r="E28" s="263"/>
      <c r="F28" s="136"/>
      <c r="J28" s="135"/>
      <c r="K28" s="135"/>
      <c r="S28" s="136"/>
      <c r="T28" s="136"/>
      <c r="X28" s="135"/>
      <c r="Y28" s="135"/>
      <c r="Z28" s="128"/>
      <c r="AA28" s="128"/>
      <c r="AB28" s="128"/>
      <c r="AC28" s="128"/>
      <c r="AD28" s="128"/>
    </row>
    <row r="29" spans="1:30" x14ac:dyDescent="0.25">
      <c r="B29" s="261"/>
      <c r="C29" s="262"/>
      <c r="D29" s="262"/>
      <c r="E29" s="263"/>
      <c r="F29" s="136"/>
      <c r="J29" s="135"/>
      <c r="K29" s="135"/>
      <c r="S29" s="136"/>
      <c r="T29" s="136"/>
      <c r="X29" s="135"/>
      <c r="Y29" s="135"/>
      <c r="Z29" s="128"/>
      <c r="AA29" s="128"/>
      <c r="AB29" s="128"/>
      <c r="AC29" s="128"/>
      <c r="AD29" s="128"/>
    </row>
    <row r="30" spans="1:30" x14ac:dyDescent="0.25">
      <c r="B30" s="261"/>
      <c r="C30" s="262"/>
      <c r="D30" s="262"/>
      <c r="E30" s="263"/>
      <c r="F30" s="136"/>
      <c r="J30" s="135"/>
      <c r="K30" s="135"/>
      <c r="S30" s="136"/>
      <c r="T30" s="136"/>
      <c r="X30" s="135"/>
      <c r="Y30" s="135"/>
      <c r="Z30" s="128"/>
      <c r="AA30" s="128"/>
      <c r="AB30" s="128"/>
      <c r="AC30" s="128"/>
      <c r="AD30" s="128"/>
    </row>
    <row r="31" spans="1:30" x14ac:dyDescent="0.25">
      <c r="B31" s="261"/>
      <c r="C31" s="262"/>
      <c r="D31" s="262"/>
      <c r="E31" s="263"/>
      <c r="F31" s="136"/>
      <c r="J31" s="135"/>
      <c r="K31" s="135"/>
      <c r="S31" s="136"/>
      <c r="T31" s="136"/>
      <c r="X31" s="135"/>
      <c r="Y31" s="135"/>
      <c r="Z31" s="128"/>
      <c r="AA31" s="128"/>
      <c r="AB31" s="128"/>
      <c r="AC31" s="128"/>
      <c r="AD31" s="128"/>
    </row>
    <row r="32" spans="1:30" x14ac:dyDescent="0.25">
      <c r="B32" s="261"/>
      <c r="C32" s="262"/>
      <c r="D32" s="262"/>
      <c r="E32" s="263"/>
      <c r="F32" s="136"/>
      <c r="J32" s="135"/>
      <c r="K32" s="135"/>
      <c r="S32" s="136"/>
      <c r="T32" s="136"/>
      <c r="X32" s="135"/>
      <c r="Y32" s="135"/>
      <c r="Z32" s="128"/>
      <c r="AA32" s="128"/>
      <c r="AB32" s="128"/>
      <c r="AC32" s="128"/>
      <c r="AD32" s="128"/>
    </row>
    <row r="33" spans="2:30" x14ac:dyDescent="0.25">
      <c r="B33" s="261"/>
      <c r="C33" s="262"/>
      <c r="D33" s="262"/>
      <c r="E33" s="263"/>
      <c r="F33" s="136"/>
      <c r="J33" s="135"/>
      <c r="K33" s="135"/>
      <c r="S33" s="136"/>
      <c r="T33" s="136"/>
      <c r="X33" s="135"/>
      <c r="Y33" s="135"/>
      <c r="Z33" s="128"/>
      <c r="AA33" s="128"/>
      <c r="AB33" s="128"/>
      <c r="AC33" s="128"/>
      <c r="AD33" s="128"/>
    </row>
    <row r="34" spans="2:30" x14ac:dyDescent="0.25">
      <c r="B34" s="261"/>
      <c r="C34" s="262"/>
      <c r="D34" s="262"/>
      <c r="E34" s="263"/>
      <c r="F34" s="136"/>
      <c r="J34" s="135"/>
      <c r="K34" s="135"/>
      <c r="S34" s="136"/>
      <c r="T34" s="136"/>
      <c r="X34" s="135"/>
      <c r="Y34" s="135"/>
      <c r="Z34" s="128"/>
      <c r="AA34" s="128"/>
      <c r="AB34" s="128"/>
      <c r="AC34" s="128"/>
      <c r="AD34" s="128"/>
    </row>
    <row r="35" spans="2:30" x14ac:dyDescent="0.25">
      <c r="B35" s="261"/>
      <c r="C35" s="262"/>
      <c r="D35" s="262"/>
      <c r="E35" s="263"/>
      <c r="F35" s="136"/>
      <c r="J35" s="135"/>
      <c r="K35" s="135"/>
      <c r="S35" s="136"/>
      <c r="T35" s="136"/>
      <c r="X35" s="135"/>
      <c r="Y35" s="135"/>
      <c r="Z35" s="128"/>
      <c r="AA35" s="128"/>
      <c r="AB35" s="128"/>
      <c r="AC35" s="128"/>
      <c r="AD35" s="128"/>
    </row>
    <row r="36" spans="2:30" x14ac:dyDescent="0.25">
      <c r="B36" s="261"/>
      <c r="C36" s="262"/>
      <c r="D36" s="262"/>
      <c r="E36" s="263"/>
      <c r="F36" s="136"/>
      <c r="J36" s="135"/>
      <c r="K36" s="135"/>
      <c r="S36" s="136"/>
      <c r="T36" s="136"/>
      <c r="X36" s="135"/>
      <c r="Y36" s="135"/>
      <c r="Z36" s="128"/>
      <c r="AA36" s="128"/>
      <c r="AB36" s="128"/>
      <c r="AC36" s="128"/>
      <c r="AD36" s="128"/>
    </row>
    <row r="37" spans="2:30" x14ac:dyDescent="0.25">
      <c r="B37" s="261"/>
      <c r="C37" s="262"/>
      <c r="D37" s="262"/>
      <c r="E37" s="262"/>
      <c r="F37" s="263"/>
      <c r="G37" s="136"/>
      <c r="J37" s="135"/>
      <c r="K37" s="135"/>
      <c r="T37" s="136"/>
      <c r="U37" s="136"/>
      <c r="X37" s="135"/>
      <c r="Y37" s="135"/>
      <c r="AA37" s="128"/>
      <c r="AB37" s="128"/>
      <c r="AC37" s="128"/>
      <c r="AD37" s="128"/>
    </row>
    <row r="38" spans="2:30" x14ac:dyDescent="0.25">
      <c r="F38" s="136"/>
      <c r="G38" s="136"/>
      <c r="J38" s="135"/>
      <c r="K38" s="135"/>
      <c r="T38" s="136"/>
      <c r="U38" s="136"/>
      <c r="X38" s="135"/>
      <c r="Y38" s="135"/>
      <c r="AA38" s="128"/>
      <c r="AB38" s="128"/>
      <c r="AC38" s="128"/>
      <c r="AD38" s="128"/>
    </row>
    <row r="39" spans="2:30" x14ac:dyDescent="0.25">
      <c r="F39" s="136"/>
      <c r="G39" s="136"/>
      <c r="J39" s="135"/>
      <c r="K39" s="135"/>
      <c r="T39" s="136"/>
      <c r="U39" s="136"/>
      <c r="X39" s="135"/>
      <c r="Y39" s="135"/>
      <c r="AA39" s="128"/>
      <c r="AB39" s="128"/>
      <c r="AC39" s="128"/>
      <c r="AD39" s="128"/>
    </row>
  </sheetData>
  <customSheetViews>
    <customSheetView guid="{B426F9F8-EB1A-4D7B-9478-7E22D414CC12}">
      <selection activeCell="B19" sqref="B19"/>
      <pageMargins left="0.7" right="0.7" top="0.75" bottom="0.75" header="0.3" footer="0.3"/>
      <pageSetup orientation="portrait" r:id="rId1"/>
    </customSheetView>
    <customSheetView guid="{56BC42A3-D967-4F27-BD5A-CB0B8CB7F657}">
      <selection activeCell="O16" sqref="O16"/>
      <pageMargins left="0.7" right="0.7" top="0.75" bottom="0.75" header="0.3" footer="0.3"/>
      <pageSetup orientation="portrait" r:id="rId2"/>
    </customSheetView>
    <customSheetView guid="{D1BD168D-40B4-46AB-88B7-64C22520CFA0}">
      <selection activeCell="E14" sqref="E14"/>
      <pageMargins left="0.7" right="0.7" top="0.75" bottom="0.75" header="0.3" footer="0.3"/>
      <pageSetup orientation="portrait" r:id="rId3"/>
    </customSheetView>
    <customSheetView guid="{AD504361-49F3-4986-BDBF-FB73E2299976}">
      <selection activeCell="E14" sqref="E14"/>
      <pageMargins left="0.7" right="0.7" top="0.75" bottom="0.75" header="0.3" footer="0.3"/>
      <pageSetup orientation="portrait" r:id="rId4"/>
    </customSheetView>
    <customSheetView guid="{2A6315F5-C9A2-43A7-B337-00FD30A3EB26}">
      <selection activeCell="B27" sqref="B27"/>
      <pageMargins left="0.7" right="0.7" top="0.75" bottom="0.75" header="0.3" footer="0.3"/>
      <pageSetup orientation="portrait" r:id="rId5"/>
    </customSheetView>
    <customSheetView guid="{77799D3C-38E2-410A-80FA-AECD8E6AB89B}">
      <selection activeCell="C17" sqref="C17"/>
      <pageMargins left="0.7" right="0.7" top="0.75" bottom="0.75" header="0.3" footer="0.3"/>
      <pageSetup orientation="portrait" r:id="rId6"/>
    </customSheetView>
    <customSheetView guid="{13EBDE9D-EC74-4522-9EED-363E735B4A78}">
      <selection activeCell="C4" sqref="C4"/>
      <pageMargins left="0.7" right="0.7" top="0.75" bottom="0.75" header="0.3" footer="0.3"/>
      <pageSetup orientation="portrait" r:id="rId7"/>
    </customSheetView>
    <customSheetView guid="{32A281B9-28FB-4D0E-8C01-BFBADAC8C3C9}">
      <selection activeCell="AB13" sqref="AB13"/>
      <pageMargins left="0.7" right="0.7" top="0.75" bottom="0.75" header="0.3" footer="0.3"/>
      <pageSetup orientation="portrait" r:id="rId8"/>
    </customSheetView>
  </customSheetViews>
  <mergeCells count="4">
    <mergeCell ref="A1:A2"/>
    <mergeCell ref="B1:B2"/>
    <mergeCell ref="C1:P1"/>
    <mergeCell ref="Q1:AD1"/>
  </mergeCells>
  <pageMargins left="0.7" right="0.7" top="0.75" bottom="0.75" header="0.3" footer="0.3"/>
  <pageSetup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N18" sqref="N18"/>
    </sheetView>
  </sheetViews>
  <sheetFormatPr defaultRowHeight="15" x14ac:dyDescent="0.25"/>
  <cols>
    <col min="1" max="1" width="10" bestFit="1" customWidth="1"/>
    <col min="4" max="4" width="14.7109375" bestFit="1" customWidth="1"/>
    <col min="14" max="14" width="12.28515625" customWidth="1"/>
  </cols>
  <sheetData>
    <row r="1" spans="1:14" x14ac:dyDescent="0.25">
      <c r="A1">
        <v>20882.318840579715</v>
      </c>
      <c r="D1">
        <v>107493</v>
      </c>
      <c r="I1">
        <v>2016</v>
      </c>
      <c r="J1">
        <v>33.799999999999997</v>
      </c>
    </row>
    <row r="2" spans="1:14" x14ac:dyDescent="0.25">
      <c r="A2" s="113">
        <f>(51460-A1)/51460</f>
        <v>0.5942028985507245</v>
      </c>
      <c r="D2">
        <v>31727</v>
      </c>
      <c r="G2">
        <v>270</v>
      </c>
      <c r="I2">
        <v>2017</v>
      </c>
      <c r="J2">
        <v>32.799999999999997</v>
      </c>
    </row>
    <row r="3" spans="1:14" x14ac:dyDescent="0.25">
      <c r="D3">
        <v>4222</v>
      </c>
      <c r="G3">
        <v>1135</v>
      </c>
      <c r="I3">
        <v>2018</v>
      </c>
      <c r="J3">
        <v>33.700000000000003</v>
      </c>
    </row>
    <row r="4" spans="1:14" x14ac:dyDescent="0.25">
      <c r="A4" s="114">
        <v>217867</v>
      </c>
      <c r="B4" t="s">
        <v>188</v>
      </c>
      <c r="D4" s="124">
        <v>143442</v>
      </c>
      <c r="G4">
        <f>SUM(G2:G3)</f>
        <v>1405</v>
      </c>
      <c r="I4">
        <v>2019</v>
      </c>
      <c r="J4">
        <v>32.5</v>
      </c>
    </row>
    <row r="5" spans="1:14" x14ac:dyDescent="0.25">
      <c r="A5" s="114" t="e">
        <f>A4+(#REF!+#REF!)*0.5</f>
        <v>#REF!</v>
      </c>
      <c r="J5">
        <f>J1-J2</f>
        <v>1</v>
      </c>
    </row>
    <row r="6" spans="1:14" x14ac:dyDescent="0.25">
      <c r="D6">
        <f>6527464*0.005</f>
        <v>32637.32</v>
      </c>
      <c r="J6">
        <f>J3-J4</f>
        <v>1.2000000000000028</v>
      </c>
    </row>
    <row r="7" spans="1:14" x14ac:dyDescent="0.25">
      <c r="J7">
        <f>AVERAGE(J5:J6)</f>
        <v>1.1000000000000014</v>
      </c>
    </row>
    <row r="8" spans="1:14" x14ac:dyDescent="0.25">
      <c r="A8" s="113" t="e">
        <f>#REF!/6527464</f>
        <v>#REF!</v>
      </c>
      <c r="D8">
        <v>13.8</v>
      </c>
      <c r="G8" s="126">
        <v>327211</v>
      </c>
    </row>
    <row r="9" spans="1:14" ht="15.75" thickBot="1" x14ac:dyDescent="0.3">
      <c r="D9">
        <v>12.7</v>
      </c>
      <c r="G9" s="127">
        <v>343320</v>
      </c>
    </row>
    <row r="10" spans="1:14" ht="15.75" thickBot="1" x14ac:dyDescent="0.3">
      <c r="A10" s="116">
        <v>234504</v>
      </c>
      <c r="D10">
        <v>12.7</v>
      </c>
      <c r="G10" s="119">
        <v>670531</v>
      </c>
    </row>
    <row r="11" spans="1:14" ht="15.75" thickBot="1" x14ac:dyDescent="0.3">
      <c r="A11" s="116">
        <v>9310</v>
      </c>
      <c r="D11">
        <v>13.9</v>
      </c>
    </row>
    <row r="12" spans="1:14" x14ac:dyDescent="0.25">
      <c r="A12" s="115">
        <f>A10/A11</f>
        <v>25.188399570354459</v>
      </c>
      <c r="D12">
        <f>D8-D9</f>
        <v>1.1000000000000014</v>
      </c>
    </row>
    <row r="13" spans="1:14" x14ac:dyDescent="0.25">
      <c r="A13" s="115"/>
      <c r="D13">
        <f>ABS(D10-D11)</f>
        <v>1.2000000000000011</v>
      </c>
    </row>
    <row r="14" spans="1:14" ht="15.75" thickBot="1" x14ac:dyDescent="0.3">
      <c r="A14" s="117">
        <v>572504</v>
      </c>
      <c r="B14" t="s">
        <v>189</v>
      </c>
      <c r="D14">
        <f>AVERAGE(D12:D13)</f>
        <v>1.1500000000000012</v>
      </c>
    </row>
    <row r="15" spans="1:14" ht="15.75" thickBot="1" x14ac:dyDescent="0.3">
      <c r="A15" s="116">
        <v>26813</v>
      </c>
    </row>
    <row r="16" spans="1:14" x14ac:dyDescent="0.25">
      <c r="A16" s="117">
        <v>91</v>
      </c>
      <c r="D16">
        <f>34000/(1)</f>
        <v>34000</v>
      </c>
      <c r="N16">
        <v>125279172.0055294</v>
      </c>
    </row>
    <row r="17" spans="1:14" x14ac:dyDescent="0.25">
      <c r="A17" s="118">
        <f>A14/(A15+A16)</f>
        <v>21.279512340172467</v>
      </c>
      <c r="N17">
        <v>84500000</v>
      </c>
    </row>
    <row r="18" spans="1:14" x14ac:dyDescent="0.25">
      <c r="D18">
        <v>53101</v>
      </c>
      <c r="E18">
        <f>D18+D19</f>
        <v>65417</v>
      </c>
      <c r="G18">
        <v>1421</v>
      </c>
      <c r="H18">
        <v>5000</v>
      </c>
      <c r="N18">
        <f>N16/N17</f>
        <v>1.4825937515447267</v>
      </c>
    </row>
    <row r="19" spans="1:14" x14ac:dyDescent="0.25">
      <c r="A19">
        <f>SUM(572504+26813+91)*0.1+572504*0.1</f>
        <v>117191.20000000001</v>
      </c>
      <c r="D19">
        <v>12316</v>
      </c>
      <c r="E19">
        <v>34000</v>
      </c>
      <c r="G19">
        <f>D18+D19</f>
        <v>65417</v>
      </c>
      <c r="H19">
        <v>65417</v>
      </c>
    </row>
    <row r="20" spans="1:14" x14ac:dyDescent="0.25">
      <c r="D20">
        <v>20050</v>
      </c>
      <c r="E20" s="113">
        <f>E19/E18</f>
        <v>0.51974257456012962</v>
      </c>
      <c r="G20" s="125">
        <f>G18/G19</f>
        <v>2.17221823073513E-2</v>
      </c>
      <c r="H20" s="125">
        <f>H18/H19</f>
        <v>7.6432731552960237E-2</v>
      </c>
    </row>
    <row r="21" spans="1:14" x14ac:dyDescent="0.25">
      <c r="A21">
        <v>2340</v>
      </c>
      <c r="D21" s="113">
        <f>D20/SUM(D18:D20)</f>
        <v>0.23459346882422455</v>
      </c>
    </row>
    <row r="22" spans="1:14" x14ac:dyDescent="0.25">
      <c r="A22" s="119">
        <f>467/A21*100</f>
        <v>19.957264957264957</v>
      </c>
    </row>
    <row r="24" spans="1:14" x14ac:dyDescent="0.25">
      <c r="A24">
        <v>3380569</v>
      </c>
      <c r="D24">
        <f>2242/D20</f>
        <v>0.11182044887780548</v>
      </c>
    </row>
    <row r="26" spans="1:14" x14ac:dyDescent="0.25">
      <c r="A26" s="120">
        <v>18750</v>
      </c>
      <c r="D26" s="114">
        <v>46000000</v>
      </c>
    </row>
    <row r="27" spans="1:14" x14ac:dyDescent="0.25">
      <c r="A27" s="120">
        <v>6000</v>
      </c>
      <c r="D27" s="114">
        <v>44000</v>
      </c>
    </row>
    <row r="28" spans="1:14" x14ac:dyDescent="0.25">
      <c r="A28" s="121">
        <v>335</v>
      </c>
      <c r="D28" s="114">
        <f>D26/D27</f>
        <v>1045.4545454545455</v>
      </c>
      <c r="E28">
        <f>D28*1.15</f>
        <v>1202.2727272727273</v>
      </c>
    </row>
    <row r="30" spans="1:14" x14ac:dyDescent="0.25">
      <c r="A30" s="120">
        <v>25000000</v>
      </c>
      <c r="D30" s="114">
        <v>83000000</v>
      </c>
    </row>
    <row r="31" spans="1:14" x14ac:dyDescent="0.25">
      <c r="A31" s="120">
        <v>23000000</v>
      </c>
      <c r="D31" s="114">
        <v>90000</v>
      </c>
    </row>
    <row r="32" spans="1:14" x14ac:dyDescent="0.25">
      <c r="A32" s="122">
        <v>8354271.2000000002</v>
      </c>
      <c r="D32">
        <f>D30/D31</f>
        <v>922.22222222222217</v>
      </c>
      <c r="F32">
        <v>20000</v>
      </c>
      <c r="G32">
        <v>10000</v>
      </c>
      <c r="H32" s="125">
        <f>F32*0.9/F33</f>
        <v>5.3245474356535842E-3</v>
      </c>
    </row>
    <row r="33" spans="1:9" x14ac:dyDescent="0.25">
      <c r="A33" s="123">
        <v>56354271.200000003</v>
      </c>
      <c r="F33">
        <v>3380569</v>
      </c>
      <c r="G33">
        <v>3380569</v>
      </c>
    </row>
    <row r="34" spans="1:9" x14ac:dyDescent="0.25">
      <c r="D34">
        <v>618</v>
      </c>
      <c r="F34" s="125">
        <f>F32/F33</f>
        <v>5.9161638173928707E-3</v>
      </c>
      <c r="G34" s="125">
        <f>G32/G33</f>
        <v>2.9580819086964354E-3</v>
      </c>
    </row>
    <row r="35" spans="1:9" x14ac:dyDescent="0.25">
      <c r="D35">
        <v>2500</v>
      </c>
    </row>
    <row r="36" spans="1:9" x14ac:dyDescent="0.25">
      <c r="D36" s="113">
        <f>D34/D35</f>
        <v>0.2472</v>
      </c>
    </row>
    <row r="45" spans="1:9" x14ac:dyDescent="0.25">
      <c r="C45">
        <v>68</v>
      </c>
    </row>
    <row r="46" spans="1:9" x14ac:dyDescent="0.25">
      <c r="C46">
        <v>67</v>
      </c>
      <c r="I46">
        <v>48142</v>
      </c>
    </row>
    <row r="47" spans="1:9" x14ac:dyDescent="0.25">
      <c r="C47">
        <v>65</v>
      </c>
      <c r="I47">
        <v>18271</v>
      </c>
    </row>
    <row r="48" spans="1:9" x14ac:dyDescent="0.25">
      <c r="C48">
        <v>70</v>
      </c>
      <c r="I48">
        <f>I47/I46*100</f>
        <v>37.952307756221174</v>
      </c>
    </row>
    <row r="49" spans="3:3" x14ac:dyDescent="0.25">
      <c r="C49">
        <f>AVERAGE(C45:C48)</f>
        <v>67.5</v>
      </c>
    </row>
  </sheetData>
  <customSheetViews>
    <customSheetView guid="{B426F9F8-EB1A-4D7B-9478-7E22D414CC12}" state="hidden">
      <selection activeCell="N18" sqref="N18"/>
      <pageMargins left="0.7" right="0.7" top="0.75" bottom="0.75" header="0.3" footer="0.3"/>
      <pageSetup paperSize="9" orientation="portrait" horizontalDpi="0" verticalDpi="0" r:id="rId1"/>
    </customSheetView>
    <customSheetView guid="{56BC42A3-D967-4F27-BD5A-CB0B8CB7F657}" state="hidden">
      <selection activeCell="N18" sqref="N18"/>
      <pageMargins left="0.7" right="0.7" top="0.75" bottom="0.75" header="0.3" footer="0.3"/>
      <pageSetup paperSize="9" orientation="portrait" horizontalDpi="0" verticalDpi="0" r:id="rId2"/>
    </customSheetView>
    <customSheetView guid="{D1BD168D-40B4-46AB-88B7-64C22520CFA0}" state="hidden">
      <selection activeCell="N18" sqref="N18"/>
      <pageMargins left="0.7" right="0.7" top="0.75" bottom="0.75" header="0.3" footer="0.3"/>
      <pageSetup paperSize="9" orientation="portrait" horizontalDpi="0" verticalDpi="0" r:id="rId3"/>
    </customSheetView>
    <customSheetView guid="{AD504361-49F3-4986-BDBF-FB73E2299976}" state="hidden">
      <selection activeCell="N18" sqref="N18"/>
      <pageMargins left="0.7" right="0.7" top="0.75" bottom="0.75" header="0.3" footer="0.3"/>
      <pageSetup paperSize="9" orientation="portrait" horizontalDpi="0" verticalDpi="0" r:id="rId4"/>
    </customSheetView>
    <customSheetView guid="{2A6315F5-C9A2-43A7-B337-00FD30A3EB26}" state="hidden">
      <selection activeCell="N18" sqref="N18"/>
      <pageMargins left="0.7" right="0.7" top="0.75" bottom="0.75" header="0.3" footer="0.3"/>
      <pageSetup paperSize="9" orientation="portrait" horizontalDpi="0" verticalDpi="0" r:id="rId5"/>
    </customSheetView>
    <customSheetView guid="{E07B67F4-8A17-4050-B9B8-81977BCB02E2}" state="hidden">
      <selection activeCell="N18" sqref="N18"/>
      <pageMargins left="0.7" right="0.7" top="0.75" bottom="0.75" header="0.3" footer="0.3"/>
      <pageSetup paperSize="9" orientation="portrait" horizontalDpi="0" verticalDpi="0" r:id="rId6"/>
    </customSheetView>
    <customSheetView guid="{9CD5F6CE-0E1C-42DA-A598-93523B740CBC}" state="hidden">
      <selection activeCell="N18" sqref="N18"/>
      <pageMargins left="0.7" right="0.7" top="0.75" bottom="0.75" header="0.3" footer="0.3"/>
      <pageSetup paperSize="9" orientation="portrait" horizontalDpi="0" verticalDpi="0" r:id="rId7"/>
    </customSheetView>
    <customSheetView guid="{72B67681-E295-44ED-80A6-F4B618B242B1}" state="hidden">
      <selection activeCell="N18" sqref="N18"/>
    </customSheetView>
    <customSheetView guid="{77799D3C-38E2-410A-80FA-AECD8E6AB89B}" state="hidden">
      <selection activeCell="N18" sqref="N18"/>
      <pageMargins left="0.7" right="0.7" top="0.75" bottom="0.75" header="0.3" footer="0.3"/>
      <pageSetup paperSize="9" orientation="portrait" horizontalDpi="0" verticalDpi="0" r:id="rId8"/>
    </customSheetView>
    <customSheetView guid="{13EBDE9D-EC74-4522-9EED-363E735B4A78}" state="hidden">
      <selection activeCell="N18" sqref="N18"/>
      <pageMargins left="0.7" right="0.7" top="0.75" bottom="0.75" header="0.3" footer="0.3"/>
      <pageSetup paperSize="9" orientation="portrait" horizontalDpi="0" verticalDpi="0" r:id="rId9"/>
    </customSheetView>
    <customSheetView guid="{32A281B9-28FB-4D0E-8C01-BFBADAC8C3C9}" state="hidden">
      <selection activeCell="N18" sqref="N18"/>
      <pageMargins left="0.7" right="0.7" top="0.75" bottom="0.75" header="0.3" footer="0.3"/>
      <pageSetup paperSize="9" orientation="portrait" horizontalDpi="0" verticalDpi="0" r:id="rId10"/>
    </customSheetView>
  </customSheetViews>
  <pageMargins left="0.7" right="0.7" top="0.75" bottom="0.75" header="0.3" footer="0.3"/>
  <pageSetup paperSize="9" orientation="portrait" horizontalDpi="0" verticalDpi="0"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L16"/>
  <sheetViews>
    <sheetView view="pageBreakPreview" zoomScale="85" zoomScaleNormal="100" zoomScaleSheetLayoutView="85" workbookViewId="0">
      <pane ySplit="2" topLeftCell="A9" activePane="bottomLeft" state="frozen"/>
      <selection pane="bottomLeft" activeCell="C3" sqref="C3:C16"/>
    </sheetView>
  </sheetViews>
  <sheetFormatPr defaultColWidth="21.42578125" defaultRowHeight="12" x14ac:dyDescent="0.25"/>
  <cols>
    <col min="1" max="1" width="16.42578125" style="2" customWidth="1"/>
    <col min="2" max="2" width="14" style="2" customWidth="1"/>
    <col min="3" max="3" width="17.140625" style="2" customWidth="1"/>
    <col min="4" max="4" width="14.28515625" style="2" bestFit="1" customWidth="1"/>
    <col min="5" max="5" width="44.28515625" style="2" customWidth="1"/>
    <col min="6" max="6" width="41.5703125" style="2" customWidth="1"/>
    <col min="7" max="8" width="14.7109375" style="4" customWidth="1"/>
    <col min="9" max="9" width="36.28515625" style="2" customWidth="1"/>
    <col min="10" max="10" width="10.7109375" style="36" customWidth="1"/>
    <col min="11" max="11" width="34.140625" style="2" customWidth="1"/>
    <col min="12" max="12" width="7.5703125" style="4" customWidth="1"/>
    <col min="13" max="16384" width="21.42578125" style="2"/>
  </cols>
  <sheetData>
    <row r="1" spans="1:12" s="4" customFormat="1" x14ac:dyDescent="0.25">
      <c r="A1" s="14">
        <v>2</v>
      </c>
      <c r="B1" s="14">
        <v>3</v>
      </c>
      <c r="C1" s="14">
        <v>6</v>
      </c>
      <c r="D1" s="14">
        <v>7</v>
      </c>
      <c r="E1" s="14">
        <v>8</v>
      </c>
      <c r="F1" s="14"/>
      <c r="G1" s="14"/>
      <c r="H1" s="14"/>
      <c r="I1" s="14">
        <v>9</v>
      </c>
      <c r="J1" s="26"/>
      <c r="K1" s="14">
        <v>10</v>
      </c>
      <c r="L1" s="14"/>
    </row>
    <row r="2" spans="1:12" s="3" customFormat="1" ht="72" x14ac:dyDescent="0.25">
      <c r="A2" s="1" t="s">
        <v>190</v>
      </c>
      <c r="B2" s="1" t="s">
        <v>191</v>
      </c>
      <c r="C2" s="1" t="s">
        <v>192</v>
      </c>
      <c r="D2" s="1" t="s">
        <v>193</v>
      </c>
      <c r="E2" s="1" t="s">
        <v>194</v>
      </c>
      <c r="F2" s="1" t="s">
        <v>195</v>
      </c>
      <c r="G2" s="1" t="s">
        <v>196</v>
      </c>
      <c r="H2" s="1" t="s">
        <v>197</v>
      </c>
      <c r="I2" s="14" t="s">
        <v>198</v>
      </c>
      <c r="J2" s="27" t="s">
        <v>199</v>
      </c>
      <c r="K2" s="1" t="s">
        <v>200</v>
      </c>
      <c r="L2" s="14" t="s">
        <v>201</v>
      </c>
    </row>
    <row r="3" spans="1:12" ht="108" x14ac:dyDescent="0.25">
      <c r="A3" s="415" t="s">
        <v>202</v>
      </c>
      <c r="B3" s="415" t="s">
        <v>203</v>
      </c>
      <c r="C3" s="418" t="s">
        <v>204</v>
      </c>
      <c r="D3" s="415" t="s">
        <v>205</v>
      </c>
      <c r="E3" s="22" t="s">
        <v>206</v>
      </c>
      <c r="F3" s="19" t="s">
        <v>207</v>
      </c>
      <c r="G3" s="78">
        <f>G5-G4</f>
        <v>83218211.999999955</v>
      </c>
      <c r="H3" s="78">
        <f>20/100*G3</f>
        <v>16643642.399999991</v>
      </c>
      <c r="I3" s="8" t="s">
        <v>208</v>
      </c>
      <c r="J3" s="30">
        <f>80/100*60/100*G5</f>
        <v>45391751.999999978</v>
      </c>
      <c r="K3" s="9" t="s">
        <v>209</v>
      </c>
      <c r="L3" s="88">
        <f>(224+93)/14*1.15*15</f>
        <v>390.58928571428567</v>
      </c>
    </row>
    <row r="4" spans="1:12" ht="60" customHeight="1" x14ac:dyDescent="0.25">
      <c r="A4" s="416"/>
      <c r="B4" s="416"/>
      <c r="C4" s="419"/>
      <c r="D4" s="416"/>
      <c r="E4" s="6"/>
      <c r="F4" s="6" t="s">
        <v>210</v>
      </c>
      <c r="G4" s="78">
        <f>20/100*60/100*G5</f>
        <v>11347937.999999994</v>
      </c>
      <c r="H4" s="78"/>
      <c r="I4" s="42"/>
      <c r="J4" s="85">
        <f>60/100*G5-J3-G4</f>
        <v>0</v>
      </c>
      <c r="K4" s="9"/>
      <c r="L4" s="38"/>
    </row>
    <row r="5" spans="1:12" x14ac:dyDescent="0.25">
      <c r="A5" s="416"/>
      <c r="B5" s="416"/>
      <c r="C5" s="419"/>
      <c r="D5" s="416"/>
      <c r="E5" s="8"/>
      <c r="F5" s="41" t="s">
        <v>211</v>
      </c>
      <c r="G5" s="82">
        <f>60/100*'ОПНО_визия евро'!C5</f>
        <v>94566149.999999955</v>
      </c>
      <c r="H5" s="78"/>
      <c r="I5" s="7"/>
      <c r="J5" s="31"/>
      <c r="K5" s="9"/>
      <c r="L5" s="39"/>
    </row>
    <row r="6" spans="1:12" ht="82.5" customHeight="1" x14ac:dyDescent="0.25">
      <c r="A6" s="416"/>
      <c r="B6" s="416"/>
      <c r="C6" s="419"/>
      <c r="D6" s="416"/>
      <c r="E6" s="24" t="s">
        <v>212</v>
      </c>
      <c r="F6" s="17" t="s">
        <v>213</v>
      </c>
      <c r="G6" s="82">
        <f>30/100*'ОПНО_визия евро'!C5</f>
        <v>47283074.999999978</v>
      </c>
      <c r="H6" s="82">
        <f>'ОПНО_визия евро'!B5-П3_Наука_Инфраструктура!H3-П3_Наука_Инфраструктура!H11</f>
        <v>5421792.6000000015</v>
      </c>
      <c r="I6" s="21" t="s">
        <v>214</v>
      </c>
      <c r="J6" s="32">
        <f>(210+359)/14*1.15*15</f>
        <v>701.08928571428567</v>
      </c>
      <c r="K6" s="9" t="s">
        <v>215</v>
      </c>
      <c r="L6" s="28">
        <f>(30+224)/14*1.15*15</f>
        <v>312.96428571428567</v>
      </c>
    </row>
    <row r="7" spans="1:12" ht="36" x14ac:dyDescent="0.25">
      <c r="A7" s="416"/>
      <c r="B7" s="416"/>
      <c r="C7" s="419"/>
      <c r="D7" s="417"/>
      <c r="E7" s="24" t="s">
        <v>216</v>
      </c>
      <c r="F7" s="19"/>
      <c r="G7" s="29"/>
      <c r="H7" s="29"/>
      <c r="I7" s="23" t="s">
        <v>217</v>
      </c>
      <c r="J7" s="33">
        <v>15</v>
      </c>
      <c r="K7" s="9"/>
      <c r="L7" s="37"/>
    </row>
    <row r="8" spans="1:12" ht="60" x14ac:dyDescent="0.25">
      <c r="A8" s="416"/>
      <c r="B8" s="416"/>
      <c r="C8" s="419"/>
      <c r="D8" s="417"/>
      <c r="E8" s="19" t="s">
        <v>218</v>
      </c>
      <c r="F8" s="19"/>
      <c r="G8" s="29"/>
      <c r="H8" s="29"/>
      <c r="I8" s="21"/>
      <c r="J8" s="34"/>
      <c r="K8" s="9"/>
      <c r="L8" s="39"/>
    </row>
    <row r="9" spans="1:12" ht="60" x14ac:dyDescent="0.25">
      <c r="A9" s="416"/>
      <c r="B9" s="416"/>
      <c r="C9" s="419"/>
      <c r="D9" s="417"/>
      <c r="E9" s="19" t="s">
        <v>219</v>
      </c>
      <c r="F9" s="19"/>
      <c r="G9" s="29"/>
      <c r="H9" s="29"/>
      <c r="I9" s="21"/>
      <c r="J9" s="34"/>
      <c r="K9" s="9"/>
      <c r="L9" s="39"/>
    </row>
    <row r="10" spans="1:12" ht="60" x14ac:dyDescent="0.25">
      <c r="A10" s="416"/>
      <c r="B10" s="416"/>
      <c r="C10" s="419"/>
      <c r="D10" s="417"/>
      <c r="E10" s="20" t="s">
        <v>220</v>
      </c>
      <c r="F10" s="19"/>
      <c r="G10" s="29"/>
      <c r="H10" s="22"/>
      <c r="I10" s="21"/>
      <c r="J10" s="35"/>
      <c r="K10" s="9"/>
      <c r="L10" s="38"/>
    </row>
    <row r="11" spans="1:12" ht="48" x14ac:dyDescent="0.25">
      <c r="A11" s="416"/>
      <c r="B11" s="416"/>
      <c r="C11" s="419"/>
      <c r="D11" s="417"/>
      <c r="E11" s="24" t="s">
        <v>221</v>
      </c>
      <c r="F11" s="17" t="s">
        <v>222</v>
      </c>
      <c r="G11" s="82">
        <f>10/100*'ОПНО_визия евро'!C5</f>
        <v>15761024.999999994</v>
      </c>
      <c r="H11" s="83">
        <f>60/100*G11</f>
        <v>9456614.9999999963</v>
      </c>
      <c r="I11" s="15" t="s">
        <v>223</v>
      </c>
      <c r="J11" s="35">
        <f>15*3</f>
        <v>45</v>
      </c>
      <c r="K11" s="9" t="s">
        <v>224</v>
      </c>
      <c r="L11" s="88">
        <f>50/100*L6</f>
        <v>156.48214285714283</v>
      </c>
    </row>
    <row r="12" spans="1:12" ht="24" x14ac:dyDescent="0.25">
      <c r="A12" s="416"/>
      <c r="B12" s="416"/>
      <c r="C12" s="419"/>
      <c r="D12" s="417"/>
      <c r="E12" s="19" t="s">
        <v>225</v>
      </c>
      <c r="F12" s="19"/>
      <c r="G12" s="29"/>
      <c r="H12" s="40"/>
      <c r="I12" s="16"/>
      <c r="J12" s="33"/>
      <c r="K12" s="9"/>
      <c r="L12" s="39"/>
    </row>
    <row r="13" spans="1:12" ht="84" x14ac:dyDescent="0.25">
      <c r="A13" s="416"/>
      <c r="B13" s="416"/>
      <c r="C13" s="419"/>
      <c r="D13" s="417"/>
      <c r="E13" s="19" t="s">
        <v>226</v>
      </c>
      <c r="F13" s="19"/>
      <c r="G13" s="29"/>
      <c r="H13" s="40"/>
      <c r="I13" s="21"/>
      <c r="J13" s="34"/>
      <c r="K13" s="9"/>
      <c r="L13" s="39"/>
    </row>
    <row r="14" spans="1:12" x14ac:dyDescent="0.25">
      <c r="A14" s="416"/>
      <c r="B14" s="416"/>
      <c r="C14" s="419"/>
      <c r="D14" s="417"/>
      <c r="E14" s="19" t="s">
        <v>227</v>
      </c>
      <c r="F14" s="19"/>
      <c r="G14" s="29"/>
      <c r="H14" s="40"/>
      <c r="I14" s="21"/>
      <c r="J14" s="34"/>
      <c r="K14" s="9"/>
      <c r="L14" s="39"/>
    </row>
    <row r="15" spans="1:12" x14ac:dyDescent="0.25">
      <c r="A15" s="416"/>
      <c r="B15" s="416"/>
      <c r="C15" s="419"/>
      <c r="D15" s="417"/>
      <c r="E15" s="18" t="s">
        <v>228</v>
      </c>
      <c r="F15" s="81"/>
      <c r="G15" s="39"/>
      <c r="H15" s="84"/>
      <c r="I15" s="25"/>
      <c r="J15" s="34"/>
      <c r="K15" s="9"/>
      <c r="L15" s="38"/>
    </row>
    <row r="16" spans="1:12" ht="48" x14ac:dyDescent="0.25">
      <c r="A16" s="420"/>
      <c r="B16" s="420"/>
      <c r="C16" s="419"/>
      <c r="D16" s="416"/>
      <c r="E16" s="79" t="s">
        <v>229</v>
      </c>
      <c r="F16" s="20"/>
      <c r="G16" s="22"/>
      <c r="H16" s="80"/>
      <c r="I16" s="25" t="s">
        <v>230</v>
      </c>
      <c r="J16" s="32">
        <f>15*1</f>
        <v>15</v>
      </c>
      <c r="K16" s="9"/>
      <c r="L16" s="39"/>
    </row>
  </sheetData>
  <customSheetViews>
    <customSheetView guid="{B426F9F8-EB1A-4D7B-9478-7E22D414CC12}"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
    </customSheetView>
    <customSheetView guid="{56BC42A3-D967-4F27-BD5A-CB0B8CB7F657}"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2"/>
    </customSheetView>
    <customSheetView guid="{D1BD168D-40B4-46AB-88B7-64C22520CFA0}"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3"/>
    </customSheetView>
    <customSheetView guid="{AD504361-49F3-4986-BDBF-FB73E229997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4"/>
    </customSheetView>
    <customSheetView guid="{2A6315F5-C9A2-43A7-B337-00FD30A3EB2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5"/>
    </customSheetView>
    <customSheetView guid="{E07B67F4-8A17-4050-B9B8-81977BCB02E2}"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6"/>
    </customSheetView>
    <customSheetView guid="{9CD5F6CE-0E1C-42DA-A598-93523B740CBC}"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7"/>
    </customSheetView>
    <customSheetView guid="{72B67681-E295-44ED-80A6-F4B618B242B1}" scale="85" showPageBreaks="1" state="hidden" view="pageBreakPreview">
      <pane ySplit="2" topLeftCell="A9" activePane="bottomLeft" state="frozen"/>
      <selection pane="bottomLeft" activeCell="C3" sqref="C3:C16"/>
    </customSheetView>
    <customSheetView guid="{77799D3C-38E2-410A-80FA-AECD8E6AB89B}"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8"/>
    </customSheetView>
    <customSheetView guid="{13EBDE9D-EC74-4522-9EED-363E735B4A78}"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9"/>
    </customSheetView>
    <customSheetView guid="{32A281B9-28FB-4D0E-8C01-BFBADAC8C3C9}"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0"/>
    </customSheetView>
  </customSheetViews>
  <mergeCells count="4">
    <mergeCell ref="D3:D16"/>
    <mergeCell ref="C3:C16"/>
    <mergeCell ref="B3:B16"/>
    <mergeCell ref="A3:A16"/>
  </mergeCells>
  <pageMargins left="0.7" right="0.7" top="0.75" bottom="0.75" header="0.3" footer="0.3"/>
  <pageSetup paperSize="9" scale="49" orientation="landscape"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21"/>
  <sheetViews>
    <sheetView view="pageBreakPreview" zoomScale="90" zoomScaleNormal="100" zoomScaleSheetLayoutView="90" workbookViewId="0">
      <pane ySplit="2" topLeftCell="A3" activePane="bottomLeft" state="frozen"/>
      <selection pane="bottomLeft" activeCell="C3" sqref="C3:C13"/>
    </sheetView>
  </sheetViews>
  <sheetFormatPr defaultColWidth="21.42578125" defaultRowHeight="15" x14ac:dyDescent="0.25"/>
  <cols>
    <col min="1" max="1" width="84.140625" style="2" bestFit="1" customWidth="1"/>
    <col min="2" max="2" width="22" style="2" bestFit="1" customWidth="1"/>
    <col min="3" max="3" width="12.85546875" style="2" bestFit="1" customWidth="1"/>
    <col min="4" max="4" width="21.140625" style="2" bestFit="1" customWidth="1"/>
    <col min="5" max="5" width="51.5703125" style="2" bestFit="1" customWidth="1"/>
    <col min="6" max="6" width="47.28515625" style="2" bestFit="1" customWidth="1"/>
    <col min="7" max="7" width="13.7109375" style="2" customWidth="1"/>
    <col min="8" max="8" width="12.7109375" style="2" customWidth="1"/>
    <col min="9" max="9" width="31" style="2" bestFit="1" customWidth="1"/>
    <col min="10" max="10" width="9" style="2" bestFit="1" customWidth="1"/>
    <col min="11" max="11" width="22.7109375" style="2" bestFit="1" customWidth="1"/>
    <col min="12" max="12" width="9" style="2" bestFit="1" customWidth="1"/>
    <col min="13" max="13" width="21.28515625" style="2" customWidth="1"/>
    <col min="14" max="14" width="21.42578125" style="5"/>
    <col min="15" max="16384" width="21.42578125" style="2"/>
  </cols>
  <sheetData>
    <row r="1" spans="1:14" s="4" customFormat="1" ht="12" x14ac:dyDescent="0.25">
      <c r="A1" s="1">
        <v>2</v>
      </c>
      <c r="B1" s="1">
        <v>3</v>
      </c>
      <c r="C1" s="1">
        <v>6</v>
      </c>
      <c r="D1" s="1">
        <v>7</v>
      </c>
      <c r="E1" s="1">
        <v>8</v>
      </c>
      <c r="F1" s="1">
        <v>9</v>
      </c>
      <c r="G1" s="1">
        <v>10</v>
      </c>
      <c r="H1" s="1"/>
      <c r="I1" s="1">
        <v>11</v>
      </c>
      <c r="J1" s="1">
        <v>12</v>
      </c>
      <c r="K1" s="1">
        <v>13</v>
      </c>
      <c r="L1" s="1">
        <v>14</v>
      </c>
      <c r="M1" s="1">
        <v>15</v>
      </c>
    </row>
    <row r="2" spans="1:14" s="4" customFormat="1" ht="72" x14ac:dyDescent="0.25">
      <c r="A2" s="1" t="s">
        <v>231</v>
      </c>
      <c r="B2" s="1" t="s">
        <v>232</v>
      </c>
      <c r="C2" s="1" t="s">
        <v>233</v>
      </c>
      <c r="D2" s="1" t="s">
        <v>234</v>
      </c>
      <c r="E2" s="1" t="s">
        <v>235</v>
      </c>
      <c r="F2" s="1" t="s">
        <v>236</v>
      </c>
      <c r="G2" s="1" t="s">
        <v>237</v>
      </c>
      <c r="H2" s="1" t="s">
        <v>238</v>
      </c>
      <c r="I2" s="1" t="s">
        <v>239</v>
      </c>
      <c r="J2" s="1" t="s">
        <v>240</v>
      </c>
      <c r="K2" s="14" t="s">
        <v>241</v>
      </c>
      <c r="L2" s="14" t="s">
        <v>242</v>
      </c>
      <c r="M2" s="14" t="s">
        <v>243</v>
      </c>
    </row>
    <row r="3" spans="1:14" ht="72" customHeight="1" x14ac:dyDescent="0.25">
      <c r="A3" s="421" t="s">
        <v>244</v>
      </c>
      <c r="B3" s="430" t="s">
        <v>245</v>
      </c>
      <c r="C3" s="427" t="s">
        <v>246</v>
      </c>
      <c r="D3" s="424" t="str">
        <f>П3_Наука_Инфраструктура!$D$3</f>
        <v>Специфична цел i) Засилване на капацитета за научни изследвания и иновации и на въвеждането на модерни технологии</v>
      </c>
      <c r="E3" s="24" t="s">
        <v>247</v>
      </c>
      <c r="F3" s="17" t="s">
        <v>248</v>
      </c>
      <c r="G3" s="82">
        <f>G14-G8</f>
        <v>63044099.999999985</v>
      </c>
      <c r="H3" s="82">
        <f>20/100*G14-H8</f>
        <v>1801260</v>
      </c>
      <c r="I3" s="21" t="s">
        <v>249</v>
      </c>
      <c r="J3" s="102">
        <f>G14/70*100/3500000*10</f>
        <v>367.60408163265299</v>
      </c>
      <c r="K3" s="103" t="s">
        <v>250</v>
      </c>
      <c r="L3" s="104">
        <f>H20</f>
        <v>233.42859183673463</v>
      </c>
      <c r="M3" s="418" t="s">
        <v>251</v>
      </c>
      <c r="N3" s="2"/>
    </row>
    <row r="4" spans="1:14" ht="36" x14ac:dyDescent="0.25">
      <c r="A4" s="417"/>
      <c r="B4" s="431"/>
      <c r="C4" s="428"/>
      <c r="D4" s="425"/>
      <c r="E4" s="24" t="s">
        <v>252</v>
      </c>
      <c r="F4" s="19"/>
      <c r="G4" s="29"/>
      <c r="H4" s="29"/>
      <c r="I4" s="23" t="s">
        <v>253</v>
      </c>
      <c r="J4" s="100">
        <v>15</v>
      </c>
      <c r="K4" s="81"/>
      <c r="L4" s="105"/>
      <c r="M4" s="419"/>
      <c r="N4" s="2"/>
    </row>
    <row r="5" spans="1:14" ht="24" x14ac:dyDescent="0.25">
      <c r="A5" s="417"/>
      <c r="B5" s="431"/>
      <c r="C5" s="428"/>
      <c r="D5" s="425"/>
      <c r="E5" s="19" t="s">
        <v>254</v>
      </c>
      <c r="F5" s="19"/>
      <c r="G5" s="29"/>
      <c r="H5" s="29"/>
      <c r="I5" s="21"/>
      <c r="J5" s="101"/>
      <c r="K5" s="81"/>
      <c r="L5" s="105"/>
      <c r="M5" s="419"/>
      <c r="N5" s="2"/>
    </row>
    <row r="6" spans="1:14" ht="48" x14ac:dyDescent="0.25">
      <c r="A6" s="417"/>
      <c r="B6" s="431"/>
      <c r="C6" s="428"/>
      <c r="D6" s="425"/>
      <c r="E6" s="19" t="s">
        <v>255</v>
      </c>
      <c r="F6" s="19"/>
      <c r="G6" s="29"/>
      <c r="H6" s="29"/>
      <c r="I6" s="21"/>
      <c r="J6" s="101"/>
      <c r="K6" s="81"/>
      <c r="L6" s="105"/>
      <c r="M6" s="419"/>
      <c r="N6" s="2"/>
    </row>
    <row r="7" spans="1:14" ht="48" x14ac:dyDescent="0.25">
      <c r="A7" s="417"/>
      <c r="B7" s="431"/>
      <c r="C7" s="428"/>
      <c r="D7" s="425"/>
      <c r="E7" s="20" t="s">
        <v>256</v>
      </c>
      <c r="F7" s="19"/>
      <c r="G7" s="29"/>
      <c r="H7" s="22"/>
      <c r="I7" s="21"/>
      <c r="J7" s="99"/>
      <c r="K7" s="18"/>
      <c r="L7" s="105"/>
      <c r="M7" s="419"/>
      <c r="N7" s="2"/>
    </row>
    <row r="8" spans="1:14" ht="36" x14ac:dyDescent="0.25">
      <c r="A8" s="417"/>
      <c r="B8" s="431"/>
      <c r="C8" s="428"/>
      <c r="D8" s="425"/>
      <c r="E8" s="24" t="s">
        <v>257</v>
      </c>
      <c r="F8" s="17" t="s">
        <v>258</v>
      </c>
      <c r="G8" s="82">
        <f>30/100*G14</f>
        <v>27018899.999999996</v>
      </c>
      <c r="H8" s="83">
        <f>60/100*G8</f>
        <v>16211339.999999996</v>
      </c>
      <c r="I8" s="15" t="s">
        <v>259</v>
      </c>
      <c r="J8" s="99">
        <f>37*1</f>
        <v>37</v>
      </c>
      <c r="K8" s="81" t="s">
        <v>260</v>
      </c>
      <c r="L8" s="106">
        <f>50/100*L3</f>
        <v>116.71429591836731</v>
      </c>
      <c r="M8" s="419"/>
      <c r="N8" s="2"/>
    </row>
    <row r="9" spans="1:14" ht="24" x14ac:dyDescent="0.25">
      <c r="A9" s="417"/>
      <c r="B9" s="431"/>
      <c r="C9" s="428"/>
      <c r="D9" s="425"/>
      <c r="E9" s="19" t="s">
        <v>261</v>
      </c>
      <c r="F9" s="19"/>
      <c r="G9" s="29"/>
      <c r="H9" s="40"/>
      <c r="I9" s="16"/>
      <c r="J9" s="100"/>
      <c r="K9" s="81"/>
      <c r="L9" s="105"/>
      <c r="M9" s="419"/>
    </row>
    <row r="10" spans="1:14" ht="60" x14ac:dyDescent="0.25">
      <c r="A10" s="417"/>
      <c r="B10" s="431"/>
      <c r="C10" s="428"/>
      <c r="D10" s="425"/>
      <c r="E10" s="19" t="s">
        <v>262</v>
      </c>
      <c r="F10" s="19"/>
      <c r="G10" s="29"/>
      <c r="H10" s="40"/>
      <c r="I10" s="21"/>
      <c r="J10" s="101"/>
      <c r="K10" s="81"/>
      <c r="L10" s="105"/>
      <c r="M10" s="419"/>
    </row>
    <row r="11" spans="1:14" x14ac:dyDescent="0.25">
      <c r="A11" s="417"/>
      <c r="B11" s="431"/>
      <c r="C11" s="428"/>
      <c r="D11" s="425"/>
      <c r="E11" s="19" t="s">
        <v>263</v>
      </c>
      <c r="F11" s="19"/>
      <c r="G11" s="29"/>
      <c r="H11" s="40"/>
      <c r="I11" s="21"/>
      <c r="J11" s="101"/>
      <c r="K11" s="81"/>
      <c r="L11" s="105"/>
      <c r="M11" s="419"/>
    </row>
    <row r="12" spans="1:14" x14ac:dyDescent="0.25">
      <c r="A12" s="417"/>
      <c r="B12" s="431"/>
      <c r="C12" s="428"/>
      <c r="D12" s="425"/>
      <c r="E12" s="18" t="s">
        <v>264</v>
      </c>
      <c r="F12" s="81"/>
      <c r="G12" s="39"/>
      <c r="H12" s="84"/>
      <c r="I12" s="25"/>
      <c r="J12" s="101"/>
      <c r="K12" s="81"/>
      <c r="L12" s="105"/>
      <c r="M12" s="419"/>
    </row>
    <row r="13" spans="1:14" x14ac:dyDescent="0.25">
      <c r="A13" s="422"/>
      <c r="B13" s="432"/>
      <c r="C13" s="429"/>
      <c r="D13" s="426"/>
      <c r="E13" s="79" t="s">
        <v>265</v>
      </c>
      <c r="F13" s="20"/>
      <c r="G13" s="22"/>
      <c r="H13" s="80"/>
      <c r="I13" s="25" t="s">
        <v>266</v>
      </c>
      <c r="J13" s="102">
        <f>37*1</f>
        <v>37</v>
      </c>
      <c r="K13" s="18"/>
      <c r="L13" s="107"/>
      <c r="M13" s="423"/>
    </row>
    <row r="14" spans="1:14" x14ac:dyDescent="0.25">
      <c r="F14" s="4" t="s">
        <v>267</v>
      </c>
      <c r="G14" s="89">
        <f>'ОПНО_визия евро'!C6</f>
        <v>90062999.999999985</v>
      </c>
    </row>
    <row r="17" spans="6:8" ht="15.75" thickBot="1" x14ac:dyDescent="0.3"/>
    <row r="18" spans="6:8" x14ac:dyDescent="0.25">
      <c r="F18" s="91" t="s">
        <v>268</v>
      </c>
      <c r="G18" s="92">
        <f>0.4*350000000</f>
        <v>140000000</v>
      </c>
      <c r="H18" s="92">
        <f>(30+224)</f>
        <v>254</v>
      </c>
    </row>
    <row r="19" spans="6:8" x14ac:dyDescent="0.25">
      <c r="F19" s="96" t="s">
        <v>269</v>
      </c>
      <c r="G19" s="108">
        <f>G14/70*100</f>
        <v>128661428.57142854</v>
      </c>
      <c r="H19" s="93"/>
    </row>
    <row r="20" spans="6:8" ht="15.75" thickBot="1" x14ac:dyDescent="0.3">
      <c r="F20" s="94"/>
      <c r="G20" s="95">
        <f>G19/G18</f>
        <v>0.91901020408163236</v>
      </c>
      <c r="H20" s="98">
        <f>H18*G20</f>
        <v>233.42859183673463</v>
      </c>
    </row>
    <row r="21" spans="6:8" x14ac:dyDescent="0.25">
      <c r="F21" s="2" t="s">
        <v>270</v>
      </c>
      <c r="G21" s="109">
        <f>G19/3500000</f>
        <v>36.760408163265296</v>
      </c>
    </row>
  </sheetData>
  <customSheetViews>
    <customSheetView guid="{B426F9F8-EB1A-4D7B-9478-7E22D414CC12}"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
    </customSheetView>
    <customSheetView guid="{56BC42A3-D967-4F27-BD5A-CB0B8CB7F657}"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2"/>
    </customSheetView>
    <customSheetView guid="{D1BD168D-40B4-46AB-88B7-64C22520CFA0}"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3"/>
    </customSheetView>
    <customSheetView guid="{AD504361-49F3-4986-BDBF-FB73E229997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4"/>
    </customSheetView>
    <customSheetView guid="{2A6315F5-C9A2-43A7-B337-00FD30A3EB2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5"/>
    </customSheetView>
    <customSheetView guid="{E07B67F4-8A17-4050-B9B8-81977BCB02E2}"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6"/>
    </customSheetView>
    <customSheetView guid="{9CD5F6CE-0E1C-42DA-A598-93523B740CBC}"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7"/>
    </customSheetView>
    <customSheetView guid="{72B67681-E295-44ED-80A6-F4B618B242B1}" scale="90" showPageBreaks="1" state="hidden" view="pageBreakPreview">
      <pane ySplit="2" topLeftCell="A3" activePane="bottomLeft" state="frozen"/>
      <selection pane="bottomLeft" activeCell="C3" sqref="C3:C13"/>
    </customSheetView>
    <customSheetView guid="{77799D3C-38E2-410A-80FA-AECD8E6AB89B}"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8"/>
    </customSheetView>
    <customSheetView guid="{13EBDE9D-EC74-4522-9EED-363E735B4A78}"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9"/>
    </customSheetView>
    <customSheetView guid="{32A281B9-28FB-4D0E-8C01-BFBADAC8C3C9}"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0"/>
    </customSheetView>
  </customSheetViews>
  <mergeCells count="5">
    <mergeCell ref="A3:A13"/>
    <mergeCell ref="M3:M13"/>
    <mergeCell ref="D3:D13"/>
    <mergeCell ref="C3:C13"/>
    <mergeCell ref="B3:B13"/>
  </mergeCells>
  <pageMargins left="0.7" right="0.7" top="0.75" bottom="0.75" header="0.3" footer="0.3"/>
  <pageSetup paperSize="9" scale="23" orientation="portrait"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20"/>
  <sheetViews>
    <sheetView view="pageBreakPreview" zoomScale="110" zoomScaleNormal="100" zoomScaleSheetLayoutView="110" workbookViewId="0">
      <pane ySplit="2" topLeftCell="A3" activePane="bottomLeft" state="frozen"/>
      <selection pane="bottomLeft" activeCell="C3" sqref="C3:C12"/>
    </sheetView>
  </sheetViews>
  <sheetFormatPr defaultColWidth="21.42578125" defaultRowHeight="15" x14ac:dyDescent="0.25"/>
  <cols>
    <col min="1" max="1" width="12.5703125" style="2" customWidth="1"/>
    <col min="2" max="2" width="12.140625" style="2" customWidth="1"/>
    <col min="3" max="3" width="11" style="2" customWidth="1"/>
    <col min="4" max="4" width="14.28515625" style="2" bestFit="1" customWidth="1"/>
    <col min="5" max="5" width="41" style="2" customWidth="1"/>
    <col min="6" max="6" width="43.140625" style="2" customWidth="1"/>
    <col min="7" max="7" width="13.140625" style="2" customWidth="1"/>
    <col min="8" max="8" width="11.28515625" style="2" customWidth="1"/>
    <col min="9" max="9" width="30.7109375" style="2" customWidth="1"/>
    <col min="10" max="10" width="20.7109375" style="2" bestFit="1" customWidth="1"/>
    <col min="11" max="12" width="21" style="2" bestFit="1" customWidth="1"/>
    <col min="13" max="13" width="20" style="2" bestFit="1" customWidth="1"/>
    <col min="14" max="14" width="21" style="2" hidden="1" customWidth="1"/>
    <col min="15" max="15" width="21.42578125" style="2" hidden="1" customWidth="1"/>
    <col min="16" max="19" width="21.42578125" style="5"/>
    <col min="20" max="16384" width="21.42578125" style="2"/>
  </cols>
  <sheetData>
    <row r="1" spans="1:19" s="4" customFormat="1" ht="12" x14ac:dyDescent="0.25">
      <c r="A1" s="1">
        <v>2</v>
      </c>
      <c r="B1" s="1">
        <v>3</v>
      </c>
      <c r="C1" s="1">
        <v>6</v>
      </c>
      <c r="D1" s="1">
        <v>7</v>
      </c>
      <c r="E1" s="1">
        <v>8</v>
      </c>
      <c r="F1" s="1">
        <v>9</v>
      </c>
      <c r="G1" s="1">
        <v>10</v>
      </c>
      <c r="H1" s="1"/>
      <c r="I1" s="1">
        <v>11</v>
      </c>
      <c r="J1" s="1">
        <v>12</v>
      </c>
      <c r="K1" s="1">
        <v>13</v>
      </c>
      <c r="L1" s="1">
        <v>14</v>
      </c>
      <c r="M1" s="1">
        <v>15</v>
      </c>
      <c r="N1" s="1">
        <v>16</v>
      </c>
      <c r="O1" s="1">
        <v>17</v>
      </c>
    </row>
    <row r="2" spans="1:19" s="4" customFormat="1" ht="132" x14ac:dyDescent="0.25">
      <c r="A2" s="1" t="s">
        <v>271</v>
      </c>
      <c r="B2" s="1" t="s">
        <v>272</v>
      </c>
      <c r="C2" s="1" t="s">
        <v>273</v>
      </c>
      <c r="D2" s="1" t="s">
        <v>274</v>
      </c>
      <c r="E2" s="1" t="s">
        <v>275</v>
      </c>
      <c r="F2" s="1" t="s">
        <v>276</v>
      </c>
      <c r="G2" s="1" t="s">
        <v>277</v>
      </c>
      <c r="H2" s="1" t="s">
        <v>278</v>
      </c>
      <c r="I2" s="1" t="s">
        <v>279</v>
      </c>
      <c r="J2" s="1" t="s">
        <v>280</v>
      </c>
      <c r="K2" s="1" t="s">
        <v>281</v>
      </c>
      <c r="L2" s="1" t="s">
        <v>282</v>
      </c>
      <c r="M2" s="1" t="s">
        <v>283</v>
      </c>
      <c r="N2" s="1" t="s">
        <v>284</v>
      </c>
      <c r="O2" s="1" t="s">
        <v>285</v>
      </c>
    </row>
    <row r="3" spans="1:19" ht="120" x14ac:dyDescent="0.25">
      <c r="A3" s="424" t="s">
        <v>286</v>
      </c>
      <c r="B3" s="439" t="s">
        <v>287</v>
      </c>
      <c r="C3" s="435" t="s">
        <v>288</v>
      </c>
      <c r="D3" s="430" t="s">
        <v>289</v>
      </c>
      <c r="E3" s="22" t="s">
        <v>290</v>
      </c>
      <c r="F3" s="19" t="s">
        <v>291</v>
      </c>
      <c r="G3" s="78">
        <f>G5-G4</f>
        <v>27739403.999999989</v>
      </c>
      <c r="H3" s="78"/>
      <c r="I3" s="12" t="s">
        <v>292</v>
      </c>
      <c r="J3" s="30">
        <f>80/100*60/100*G5</f>
        <v>15130583.999999994</v>
      </c>
      <c r="K3" s="13" t="s">
        <v>293</v>
      </c>
      <c r="L3" s="88">
        <f>(224+93)/14*1.15*3</f>
        <v>78.117857142857133</v>
      </c>
      <c r="M3" s="437" t="s">
        <v>294</v>
      </c>
      <c r="N3" s="433"/>
      <c r="O3" s="434"/>
      <c r="P3" s="2"/>
      <c r="Q3" s="2"/>
      <c r="R3" s="2"/>
      <c r="S3" s="2"/>
    </row>
    <row r="4" spans="1:19" ht="48" x14ac:dyDescent="0.25">
      <c r="A4" s="425"/>
      <c r="B4" s="439"/>
      <c r="C4" s="436"/>
      <c r="D4" s="431"/>
      <c r="E4" s="10"/>
      <c r="F4" s="10" t="s">
        <v>295</v>
      </c>
      <c r="G4" s="78">
        <f>20/100*60/100*G5</f>
        <v>3782645.9999999986</v>
      </c>
      <c r="H4" s="78"/>
      <c r="I4" s="42"/>
      <c r="J4" s="85">
        <f>60/100*G5-J3-G4</f>
        <v>0</v>
      </c>
      <c r="K4" s="13"/>
      <c r="L4" s="38"/>
      <c r="M4" s="438"/>
      <c r="N4" s="433"/>
      <c r="O4" s="434"/>
      <c r="P4" s="2"/>
      <c r="Q4" s="2"/>
      <c r="R4" s="2"/>
      <c r="S4" s="2"/>
    </row>
    <row r="5" spans="1:19" ht="12" x14ac:dyDescent="0.25">
      <c r="A5" s="425"/>
      <c r="B5" s="439"/>
      <c r="C5" s="436"/>
      <c r="D5" s="431"/>
      <c r="E5" s="12"/>
      <c r="F5" s="41" t="s">
        <v>296</v>
      </c>
      <c r="G5" s="82">
        <f>60/100*'ОПНО_визия евро'!C4</f>
        <v>31522049.999999989</v>
      </c>
      <c r="H5" s="78"/>
      <c r="I5" s="11"/>
      <c r="J5" s="31"/>
      <c r="K5" s="13"/>
      <c r="L5" s="39"/>
      <c r="M5" s="438"/>
      <c r="N5" s="433"/>
      <c r="O5" s="434"/>
      <c r="P5" s="2"/>
      <c r="Q5" s="2"/>
      <c r="R5" s="2"/>
      <c r="S5" s="2"/>
    </row>
    <row r="6" spans="1:19" ht="72" x14ac:dyDescent="0.25">
      <c r="A6" s="425"/>
      <c r="B6" s="439"/>
      <c r="C6" s="436"/>
      <c r="D6" s="431"/>
      <c r="E6" s="24" t="s">
        <v>297</v>
      </c>
      <c r="F6" s="17" t="s">
        <v>298</v>
      </c>
      <c r="G6" s="82">
        <f>30/100*'ОПНО_визия евро'!C4</f>
        <v>15761024.999999994</v>
      </c>
      <c r="H6" s="82">
        <f>'ОПНО_визия евро'!B4-П3_Наука_Хоризонт!H11-П3_Наука_Хоризонт!H3</f>
        <v>7355144.9999999981</v>
      </c>
      <c r="I6" s="21" t="s">
        <v>299</v>
      </c>
      <c r="J6" s="32">
        <f>(210+359)/14*1.15*3+12*5</f>
        <v>200.21785714285716</v>
      </c>
      <c r="K6" s="13" t="s">
        <v>300</v>
      </c>
      <c r="L6" s="28">
        <f>(30+224)/14*1.15*3+12</f>
        <v>74.592857142857127</v>
      </c>
      <c r="M6" s="438"/>
      <c r="N6" s="433"/>
      <c r="O6" s="434"/>
      <c r="P6" s="2"/>
      <c r="Q6" s="2"/>
      <c r="R6" s="2"/>
      <c r="S6" s="2"/>
    </row>
    <row r="7" spans="1:19" ht="36" x14ac:dyDescent="0.25">
      <c r="A7" s="425"/>
      <c r="B7" s="439"/>
      <c r="C7" s="436"/>
      <c r="D7" s="431"/>
      <c r="E7" s="24" t="s">
        <v>301</v>
      </c>
      <c r="F7" s="19"/>
      <c r="G7" s="29"/>
      <c r="H7" s="29"/>
      <c r="I7" s="23" t="s">
        <v>302</v>
      </c>
      <c r="J7" s="33">
        <f>3*3+12</f>
        <v>21</v>
      </c>
      <c r="K7" s="13"/>
      <c r="L7" s="37"/>
      <c r="M7" s="438"/>
      <c r="N7" s="433"/>
      <c r="O7" s="434"/>
      <c r="P7" s="2"/>
      <c r="Q7" s="2"/>
      <c r="R7" s="2"/>
      <c r="S7" s="2"/>
    </row>
    <row r="8" spans="1:19" ht="36" x14ac:dyDescent="0.25">
      <c r="A8" s="425"/>
      <c r="B8" s="439"/>
      <c r="C8" s="436"/>
      <c r="D8" s="431"/>
      <c r="E8" s="19" t="s">
        <v>303</v>
      </c>
      <c r="F8" s="19"/>
      <c r="G8" s="29"/>
      <c r="H8" s="29"/>
      <c r="I8" s="21"/>
      <c r="J8" s="34"/>
      <c r="K8" s="13"/>
      <c r="L8" s="39"/>
      <c r="M8" s="438"/>
      <c r="N8" s="433"/>
      <c r="O8" s="434"/>
      <c r="P8" s="2"/>
      <c r="Q8" s="2"/>
      <c r="R8" s="2"/>
      <c r="S8" s="2"/>
    </row>
    <row r="9" spans="1:19" ht="60" x14ac:dyDescent="0.25">
      <c r="A9" s="425"/>
      <c r="B9" s="439"/>
      <c r="C9" s="436"/>
      <c r="D9" s="431"/>
      <c r="E9" s="19" t="s">
        <v>304</v>
      </c>
      <c r="F9" s="19"/>
      <c r="G9" s="29"/>
      <c r="H9" s="29"/>
      <c r="I9" s="21"/>
      <c r="J9" s="34"/>
      <c r="K9" s="13"/>
      <c r="L9" s="39"/>
      <c r="M9" s="438"/>
      <c r="N9" s="433"/>
      <c r="O9" s="434"/>
      <c r="P9" s="2"/>
      <c r="Q9" s="2"/>
      <c r="R9" s="2"/>
      <c r="S9" s="2"/>
    </row>
    <row r="10" spans="1:19" ht="60" x14ac:dyDescent="0.25">
      <c r="A10" s="425"/>
      <c r="B10" s="439"/>
      <c r="C10" s="436"/>
      <c r="D10" s="431"/>
      <c r="E10" s="20" t="s">
        <v>305</v>
      </c>
      <c r="F10" s="19"/>
      <c r="G10" s="29"/>
      <c r="H10" s="22"/>
      <c r="I10" s="21"/>
      <c r="J10" s="35"/>
      <c r="K10" s="13"/>
      <c r="L10" s="38"/>
      <c r="M10" s="438"/>
      <c r="N10" s="433"/>
      <c r="O10" s="434"/>
      <c r="P10" s="2"/>
      <c r="Q10" s="2"/>
      <c r="R10" s="2"/>
      <c r="S10" s="2"/>
    </row>
    <row r="11" spans="1:19" ht="48" x14ac:dyDescent="0.25">
      <c r="A11" s="425"/>
      <c r="B11" s="439"/>
      <c r="C11" s="436"/>
      <c r="D11" s="431"/>
      <c r="E11" s="24" t="s">
        <v>306</v>
      </c>
      <c r="F11" s="17" t="s">
        <v>307</v>
      </c>
      <c r="G11" s="82">
        <f>10/100*'ОПНО_визия евро'!C4</f>
        <v>5253674.9999999991</v>
      </c>
      <c r="H11" s="83">
        <f>60/100*G11</f>
        <v>3152204.9999999995</v>
      </c>
      <c r="I11" s="15" t="s">
        <v>308</v>
      </c>
      <c r="J11" s="35">
        <f>12*1</f>
        <v>12</v>
      </c>
      <c r="K11" s="13" t="s">
        <v>309</v>
      </c>
      <c r="L11" s="88">
        <f>50/100*L6</f>
        <v>37.296428571428564</v>
      </c>
      <c r="M11" s="438"/>
      <c r="N11" s="433"/>
      <c r="O11" s="434"/>
      <c r="P11" s="2"/>
      <c r="Q11" s="2"/>
      <c r="R11" s="2"/>
      <c r="S11" s="2"/>
    </row>
    <row r="12" spans="1:19" ht="24" x14ac:dyDescent="0.25">
      <c r="A12" s="425"/>
      <c r="B12" s="439"/>
      <c r="C12" s="436"/>
      <c r="D12" s="431"/>
      <c r="E12" s="19" t="s">
        <v>310</v>
      </c>
      <c r="F12" s="19"/>
      <c r="G12" s="29"/>
      <c r="H12" s="40"/>
      <c r="I12" s="16"/>
      <c r="J12" s="33"/>
      <c r="K12" s="13"/>
      <c r="L12" s="39"/>
      <c r="M12" s="438"/>
      <c r="N12" s="433"/>
    </row>
    <row r="13" spans="1:19" ht="72" x14ac:dyDescent="0.25">
      <c r="E13" s="19" t="s">
        <v>311</v>
      </c>
      <c r="F13" s="19"/>
      <c r="G13" s="29"/>
      <c r="H13" s="40"/>
      <c r="I13" s="21"/>
      <c r="J13" s="34"/>
      <c r="K13" s="13"/>
      <c r="L13" s="39"/>
    </row>
    <row r="14" spans="1:19" x14ac:dyDescent="0.25">
      <c r="E14" s="19" t="s">
        <v>312</v>
      </c>
      <c r="F14" s="19"/>
      <c r="G14" s="29"/>
      <c r="H14" s="40"/>
      <c r="I14" s="21"/>
      <c r="J14" s="34"/>
      <c r="K14" s="13"/>
      <c r="L14" s="39"/>
    </row>
    <row r="15" spans="1:19" x14ac:dyDescent="0.25">
      <c r="E15" s="18" t="s">
        <v>313</v>
      </c>
      <c r="F15" s="81"/>
      <c r="G15" s="39"/>
      <c r="H15" s="84"/>
      <c r="I15" s="25"/>
      <c r="J15" s="34"/>
      <c r="K15" s="13"/>
      <c r="L15" s="38"/>
    </row>
    <row r="16" spans="1:19" x14ac:dyDescent="0.25">
      <c r="E16" s="79"/>
      <c r="F16" s="20"/>
      <c r="G16" s="22"/>
      <c r="H16" s="80"/>
      <c r="I16" s="25"/>
      <c r="J16" s="32"/>
      <c r="K16" s="13"/>
      <c r="L16" s="39"/>
    </row>
    <row r="17" spans="6:7" x14ac:dyDescent="0.25">
      <c r="F17" s="90" t="s">
        <v>314</v>
      </c>
      <c r="G17" s="87">
        <f>G11+G6</f>
        <v>21014699.999999993</v>
      </c>
    </row>
    <row r="18" spans="6:7" ht="15.75" thickBot="1" x14ac:dyDescent="0.3"/>
    <row r="19" spans="6:7" x14ac:dyDescent="0.25">
      <c r="F19" s="110" t="s">
        <v>315</v>
      </c>
      <c r="G19" s="97">
        <v>3</v>
      </c>
    </row>
    <row r="20" spans="6:7" ht="15.75" thickBot="1" x14ac:dyDescent="0.3">
      <c r="F20" s="94" t="s">
        <v>316</v>
      </c>
      <c r="G20" s="98">
        <f>G17/70*100*1.95583/5000000</f>
        <v>11.743194485999995</v>
      </c>
    </row>
  </sheetData>
  <customSheetViews>
    <customSheetView guid="{B426F9F8-EB1A-4D7B-9478-7E22D414CC12}"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
    </customSheetView>
    <customSheetView guid="{56BC42A3-D967-4F27-BD5A-CB0B8CB7F657}"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2"/>
    </customSheetView>
    <customSheetView guid="{D1BD168D-40B4-46AB-88B7-64C22520CFA0}"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3"/>
    </customSheetView>
    <customSheetView guid="{AD504361-49F3-4986-BDBF-FB73E2299976}"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4"/>
    </customSheetView>
    <customSheetView guid="{2A6315F5-C9A2-43A7-B337-00FD30A3EB26}"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5"/>
    </customSheetView>
    <customSheetView guid="{E07B67F4-8A17-4050-B9B8-81977BCB02E2}"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6"/>
    </customSheetView>
    <customSheetView guid="{9CD5F6CE-0E1C-42DA-A598-93523B740CBC}"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7"/>
    </customSheetView>
    <customSheetView guid="{72B67681-E295-44ED-80A6-F4B618B242B1}" scale="110" showPageBreaks="1" state="hidden" view="pageBreakPreview">
      <pane ySplit="2" topLeftCell="A3" activePane="bottomLeft" state="frozen"/>
      <selection pane="bottomLeft" activeCell="C3" sqref="C3:C12"/>
    </customSheetView>
    <customSheetView guid="{77799D3C-38E2-410A-80FA-AECD8E6AB89B}"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8"/>
    </customSheetView>
    <customSheetView guid="{13EBDE9D-EC74-4522-9EED-363E735B4A78}"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9"/>
    </customSheetView>
    <customSheetView guid="{32A281B9-28FB-4D0E-8C01-BFBADAC8C3C9}"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0"/>
    </customSheetView>
  </customSheetViews>
  <mergeCells count="7">
    <mergeCell ref="N3:N12"/>
    <mergeCell ref="O3:O11"/>
    <mergeCell ref="D3:D12"/>
    <mergeCell ref="C3:C12"/>
    <mergeCell ref="A3:A12"/>
    <mergeCell ref="M3:M12"/>
    <mergeCell ref="B3:B12"/>
  </mergeCells>
  <pageMargins left="0.7" right="0.7" top="0.75" bottom="0.75" header="0.3" footer="0.3"/>
  <pageSetup paperSize="9" scale="23" orientation="portrait"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Финансови бюджетни </vt:lpstr>
      <vt:lpstr>Финансов план на ПТП</vt:lpstr>
      <vt:lpstr>ОПНО_визия евро</vt:lpstr>
      <vt:lpstr>ПОКАЗАТЕЛИ ПТП </vt:lpstr>
      <vt:lpstr>Подробно разпределение </vt:lpstr>
      <vt:lpstr>работен</vt:lpstr>
      <vt:lpstr>П3_Наука_Инфраструктура</vt:lpstr>
      <vt:lpstr>П3_Наука Изследвания</vt:lpstr>
      <vt:lpstr>П3_Наука_Хоризонт</vt:lpstr>
      <vt:lpstr>'Финансов план на ПТП'!_ftnref1</vt:lpstr>
      <vt:lpstr>'ОПНО_визия евро'!Print_Area</vt:lpstr>
      <vt:lpstr>'П3_Наука Изследвания'!Print_Area</vt:lpstr>
      <vt:lpstr>П3_Наука_Инфраструктура!Print_Area</vt:lpstr>
      <vt:lpstr>П3_Наука_Хоризонт!Print_Area</vt:lpstr>
      <vt:lpstr>'ПОКАЗАТЕЛИ ПТП '!Print_Area</vt:lpstr>
      <vt:lpstr>'Финансов план на ПТП'!Print_Area</vt:lpstr>
      <vt:lpstr>'Финансови бюджетни '!Print_Area</vt:lpstr>
    </vt:vector>
  </TitlesOfParts>
  <Company>MON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Popov</dc:creator>
  <cp:lastModifiedBy>Даниела Николова</cp:lastModifiedBy>
  <cp:lastPrinted>2021-11-23T11:39:08Z</cp:lastPrinted>
  <dcterms:created xsi:type="dcterms:W3CDTF">2019-11-22T10:11:00Z</dcterms:created>
  <dcterms:modified xsi:type="dcterms:W3CDTF">2021-12-09T13:21:28Z</dcterms:modified>
</cp:coreProperties>
</file>