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6.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63.xml" ContentType="application/vnd.openxmlformats-officedocument.spreadsheetml.revisionLog+xml"/>
  <Override PartName="/xl/revisions/revisionLog68.xml" ContentType="application/vnd.openxmlformats-officedocument.spreadsheetml.revisionLog+xml"/>
  <Override PartName="/xl/revisions/revisionLog84.xml" ContentType="application/vnd.openxmlformats-officedocument.spreadsheetml.revisionLog+xml"/>
  <Override PartName="/xl/revisions/revisionLog89.xml" ContentType="application/vnd.openxmlformats-officedocument.spreadsheetml.revisionLog+xml"/>
  <Override PartName="/xl/revisions/revisionLog112.xml" ContentType="application/vnd.openxmlformats-officedocument.spreadsheetml.revisionLog+xml"/>
  <Override PartName="/xl/revisions/revisionLog16.xml" ContentType="application/vnd.openxmlformats-officedocument.spreadsheetml.revisionLog+xml"/>
  <Override PartName="/xl/revisions/revisionLog107.xml" ContentType="application/vnd.openxmlformats-officedocument.spreadsheetml.revisionLog+xml"/>
  <Override PartName="/xl/revisions/revisionLog11.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3.xml" ContentType="application/vnd.openxmlformats-officedocument.spreadsheetml.revisionLog+xml"/>
  <Override PartName="/xl/revisions/revisionLog58.xml" ContentType="application/vnd.openxmlformats-officedocument.spreadsheetml.revisionLog+xml"/>
  <Override PartName="/xl/revisions/revisionLog74.xml" ContentType="application/vnd.openxmlformats-officedocument.spreadsheetml.revisionLog+xml"/>
  <Override PartName="/xl/revisions/revisionLog79.xml" ContentType="application/vnd.openxmlformats-officedocument.spreadsheetml.revisionLog+xml"/>
  <Override PartName="/xl/revisions/revisionLog102.xml" ContentType="application/vnd.openxmlformats-officedocument.spreadsheetml.revisionLog+xml"/>
  <Override PartName="/xl/revisions/revisionLog5.xml" ContentType="application/vnd.openxmlformats-officedocument.spreadsheetml.revisionLog+xml"/>
  <Override PartName="/xl/revisions/revisionLog90.xml" ContentType="application/vnd.openxmlformats-officedocument.spreadsheetml.revisionLog+xml"/>
  <Override PartName="/xl/revisions/revisionLog95.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64.xml" ContentType="application/vnd.openxmlformats-officedocument.spreadsheetml.revisionLog+xml"/>
  <Override PartName="/xl/revisions/revisionLog69.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03.xml" ContentType="application/vnd.openxmlformats-officedocument.spreadsheetml.revisionLog+xml"/>
  <Override PartName="/xl/revisions/revisionLog108.xml" ContentType="application/vnd.openxmlformats-officedocument.spreadsheetml.revisionLog+xml"/>
  <Override PartName="/xl/revisions/revisionLog54.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57.xml" ContentType="application/vnd.openxmlformats-officedocument.spreadsheetml.revisionLog+xml"/>
  <Override PartName="/xl/revisions/revisionLog106.xml" ContentType="application/vnd.openxmlformats-officedocument.spreadsheetml.revisionLog+xml"/>
  <Override PartName="/xl/revisions/revisionLog10.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52.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73.xml" ContentType="application/vnd.openxmlformats-officedocument.spreadsheetml.revisionLog+xml"/>
  <Override PartName="/xl/revisions/revisionLog78.xml" ContentType="application/vnd.openxmlformats-officedocument.spreadsheetml.revisionLog+xml"/>
  <Override PartName="/xl/revisions/revisionLog81.xml" ContentType="application/vnd.openxmlformats-officedocument.spreadsheetml.revisionLog+xml"/>
  <Override PartName="/xl/revisions/revisionLog86.xml" ContentType="application/vnd.openxmlformats-officedocument.spreadsheetml.revisionLog+xml"/>
  <Override PartName="/xl/revisions/revisionLog94.xml" ContentType="application/vnd.openxmlformats-officedocument.spreadsheetml.revisionLog+xml"/>
  <Override PartName="/xl/revisions/revisionLog99.xml" ContentType="application/vnd.openxmlformats-officedocument.spreadsheetml.revisionLog+xml"/>
  <Override PartName="/xl/revisions/revisionLog10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9.xml" ContentType="application/vnd.openxmlformats-officedocument.spreadsheetml.revisionLog+xml"/>
  <Override PartName="/xl/revisions/revisionLog109.xml" ContentType="application/vnd.openxmlformats-officedocument.spreadsheetml.revisionLog+xml"/>
  <Override PartName="/xl/revisions/revisionLog34.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6.xml" ContentType="application/vnd.openxmlformats-officedocument.spreadsheetml.revisionLog+xml"/>
  <Override PartName="/xl/revisions/revisionLog97.xml" ContentType="application/vnd.openxmlformats-officedocument.spreadsheetml.revisionLog+xml"/>
  <Override PartName="/xl/revisions/revisionLog104.xml" ContentType="application/vnd.openxmlformats-officedocument.spreadsheetml.revisionLog+xml"/>
  <Override PartName="/xl/revisions/revisionLog7.xml" ContentType="application/vnd.openxmlformats-officedocument.spreadsheetml.revisionLog+xml"/>
  <Override PartName="/xl/revisions/revisionLog71.xml" ContentType="application/vnd.openxmlformats-officedocument.spreadsheetml.revisionLog+xml"/>
  <Override PartName="/xl/revisions/revisionLog92.xml" ContentType="application/vnd.openxmlformats-officedocument.spreadsheetml.revisionLog+xml"/>
  <Override PartName="/xl/revisions/revisionLog2.xml" ContentType="application/vnd.openxmlformats-officedocument.spreadsheetml.revisionLog+xml"/>
  <Override PartName="/xl/revisions/revisionLog29.xml" ContentType="application/vnd.openxmlformats-officedocument.spreadsheetml.revisionLog+xml"/>
  <Override PartName="/xl/revisions/revisionLog24.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7.xml" ContentType="application/vnd.openxmlformats-officedocument.spreadsheetml.revisionLog+xml"/>
  <Override PartName="/xl/revisions/revisionLog110.xml" ContentType="application/vnd.openxmlformats-officedocument.spreadsheetml.revisionLog+xml"/>
  <Override PartName="/xl/revisions/revisionLog61.xml" ContentType="application/vnd.openxmlformats-officedocument.spreadsheetml.revisionLog+xml"/>
  <Override PartName="/xl/revisions/revisionLog82.xml" ContentType="application/vnd.openxmlformats-officedocument.spreadsheetml.revisionLog+xml"/>
  <Override PartName="/xl/revisions/revisionLog19.xml" ContentType="application/vnd.openxmlformats-officedocument.spreadsheetml.revisionLog+xml"/>
  <Override PartName="/xl/revisions/revisionLog14.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77.xml" ContentType="application/vnd.openxmlformats-officedocument.spreadsheetml.revisionLog+xml"/>
  <Override PartName="/xl/revisions/revisionLog100.xml" ContentType="application/vnd.openxmlformats-officedocument.spreadsheetml.revisionLog+xml"/>
  <Override PartName="/xl/revisions/revisionLog105.xml" ContentType="application/vnd.openxmlformats-officedocument.spreadsheetml.revisionLog+xml"/>
  <Override PartName="/xl/revisions/revisionLog8.xml" ContentType="application/vnd.openxmlformats-officedocument.spreadsheetml.revisionLog+xml"/>
  <Override PartName="/xl/revisions/revisionLog51.xml" ContentType="application/vnd.openxmlformats-officedocument.spreadsheetml.revisionLog+xml"/>
  <Override PartName="/xl/revisions/revisionLog72.xml" ContentType="application/vnd.openxmlformats-officedocument.spreadsheetml.revisionLog+xml"/>
  <Override PartName="/xl/revisions/revisionLog93.xml" ContentType="application/vnd.openxmlformats-officedocument.spreadsheetml.revisionLog+xml"/>
  <Override PartName="/xl/revisions/revisionLog98.xml" ContentType="application/vnd.openxmlformats-officedocument.spreadsheetml.revisionLog+xml"/>
  <Override PartName="/xl/revisions/revisionLog3.xml" ContentType="application/vnd.openxmlformats-officedocument.spreadsheetml.revisionLog+xml"/>
  <Override PartName="/xl/revisions/revisionLog25.xml" ContentType="application/vnd.openxmlformats-officedocument.spreadsheetml.revisionLog+xml"/>
  <Override PartName="/xl/revisions/revisionLog46.xml" ContentType="application/vnd.openxmlformats-officedocument.spreadsheetml.revisionLog+xml"/>
  <Override PartName="/xl/revisions/revisionLog67.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62.xml" ContentType="application/vnd.openxmlformats-officedocument.spreadsheetml.revisionLog+xml"/>
  <Override PartName="/xl/revisions/revisionLog83.xml" ContentType="application/vnd.openxmlformats-officedocument.spreadsheetml.revisionLog+xml"/>
  <Override PartName="/xl/revisions/revisionLog88.xml" ContentType="application/vnd.openxmlformats-officedocument.spreadsheetml.revisionLog+xml"/>
  <Override PartName="/xl/revisions/revisionLog1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govrn.bg\root\OPDU\Отдел 1 ПД\ПТП 2021-2027\7. Draft 2.3\ЗА изпращане\ИЗПРАТЕНИ НА ТРГ НА ПТП\"/>
    </mc:Choice>
  </mc:AlternateContent>
  <bookViews>
    <workbookView xWindow="0" yWindow="0" windowWidth="23040" windowHeight="9195" tabRatio="782"/>
  </bookViews>
  <sheets>
    <sheet name="Финансови бюджетни " sheetId="1" r:id="rId1"/>
    <sheet name="Финансов план на ПТП" sheetId="2" r:id="rId2"/>
    <sheet name="ОПНО_визия евро" sheetId="3" state="hidden" r:id="rId3"/>
    <sheet name="ПОКАЗАТЕЛИ ПТП " sheetId="4" r:id="rId4"/>
    <sheet name="Подробно разпределение " sheetId="5" r:id="rId5"/>
    <sheet name="работен" sheetId="6" state="hidden" r:id="rId6"/>
    <sheet name="П3_Наука_Инфраструктура" sheetId="7" state="hidden" r:id="rId7"/>
    <sheet name="П3_Наука Изследвания" sheetId="8" state="hidden" r:id="rId8"/>
    <sheet name="П3_Наука_Хоризонт" sheetId="9" state="hidden" r:id="rId9"/>
  </sheets>
  <definedNames>
    <definedName name="_xlnm._FilterDatabase" localSheetId="3" hidden="1">'ПОКАЗАТЕЛИ ПТП '!$A$1:$M$70</definedName>
    <definedName name="_ftn1" localSheetId="3">'ПОКАЗАТЕЛИ ПТП '!#REF!</definedName>
    <definedName name="_ftnref1" localSheetId="1">'Финансов план на ПТП'!$A$24</definedName>
    <definedName name="_xlnm.Print_Area" localSheetId="2">'ОПНО_визия евро'!$A$1:$O$30</definedName>
    <definedName name="_xlnm.Print_Area" localSheetId="7">'П3_Наука Изследвания'!$A$1:$M$14</definedName>
    <definedName name="_xlnm.Print_Area" localSheetId="6">П3_Наука_Инфраструктура!$A$1:$L$16</definedName>
    <definedName name="_xlnm.Print_Area" localSheetId="8">П3_Наука_Хоризонт!$A$1:$M$18</definedName>
    <definedName name="_xlnm.Print_Area" localSheetId="3">'ПОКАЗАТЕЛИ ПТП '!$A$1:$F$68</definedName>
    <definedName name="_xlnm.Print_Area" localSheetId="1">'Финансов план на ПТП'!$A$2:$M$18</definedName>
    <definedName name="_xlnm.Print_Area" localSheetId="0">'Финансови бюджетни '!$A$4:$L$16</definedName>
    <definedName name="result.jsf?x_2_805" localSheetId="5">работен!#REF!</definedName>
    <definedName name="Z_008ABF53_164D_4C5B_BA98_868C9AB74E7A_.wvu.FilterData" localSheetId="3" hidden="1">'ПОКАЗАТЕЛИ ПТП '!$A$1:$M$68</definedName>
    <definedName name="Z_042EB648_82BC_4224_BE18_E23E37019127_.wvu.FilterData" localSheetId="3" hidden="1">'ПОКАЗАТЕЛИ ПТП '!$A$1:$M$68</definedName>
    <definedName name="Z_076F3EBE_351B_40E7_B497_75BD777031D1_.wvu.FilterData" localSheetId="3" hidden="1">'ПОКАЗАТЕЛИ ПТП '!$A$1:$M$70</definedName>
    <definedName name="Z_0B483FC7_B634_4102_9054_FF702DF2D16D_.wvu.FilterData" localSheetId="3" hidden="1">'ПОКАЗАТЕЛИ ПТП '!$A$1:$M$68</definedName>
    <definedName name="Z_0C97AF8D_7C80_4D3A_884E_0BB39D941EA8_.wvu.FilterData" localSheetId="3" hidden="1">'ПОКАЗАТЕЛИ ПТП '!$A$1:$M$68</definedName>
    <definedName name="Z_0CC29DAA_CB45_4ECC_AEC6_24DC9DBF66F4_.wvu.FilterData" localSheetId="3" hidden="1">'ПОКАЗАТЕЛИ ПТП '!$A$1:$M$68</definedName>
    <definedName name="Z_0D9D0AF2_9ABA_40E6_B191_B3B1008D0E0A_.wvu.FilterData" localSheetId="3" hidden="1">'ПОКАЗАТЕЛИ ПТП '!$A$1:$M$68</definedName>
    <definedName name="Z_0F284C65_6180_4150_9970_738EE7A62FB9_.wvu.FilterData" localSheetId="3" hidden="1">'ПОКАЗАТЕЛИ ПТП '!$A$1:$F$68</definedName>
    <definedName name="Z_12034DF3_5272_494A_9232_51EF03EB9FD6_.wvu.FilterData" localSheetId="3" hidden="1">'ПОКАЗАТЕЛИ ПТП '!$A$1:$M$68</definedName>
    <definedName name="Z_13EBDE9D_EC74_4522_9EED_363E735B4A78_.wvu.Cols" localSheetId="8" hidden="1">П3_Наука_Хоризонт!$N:$O</definedName>
    <definedName name="Z_13EBDE9D_EC74_4522_9EED_363E735B4A78_.wvu.FilterData" localSheetId="3" hidden="1">'ПОКАЗАТЕЛИ ПТП '!$A$1:$M$70</definedName>
    <definedName name="Z_13EBDE9D_EC74_4522_9EED_363E735B4A78_.wvu.PrintArea" localSheetId="2" hidden="1">'ОПНО_визия евро'!$A$1:$O$30</definedName>
    <definedName name="Z_13EBDE9D_EC74_4522_9EED_363E735B4A78_.wvu.PrintArea" localSheetId="7" hidden="1">'П3_Наука Изследвания'!$A$1:$M$14</definedName>
    <definedName name="Z_13EBDE9D_EC74_4522_9EED_363E735B4A78_.wvu.PrintArea" localSheetId="6" hidden="1">П3_Наука_Инфраструктура!$A$1:$L$16</definedName>
    <definedName name="Z_13EBDE9D_EC74_4522_9EED_363E735B4A78_.wvu.PrintArea" localSheetId="8" hidden="1">П3_Наука_Хоризонт!$A$1:$M$18</definedName>
    <definedName name="Z_13EBDE9D_EC74_4522_9EED_363E735B4A78_.wvu.PrintArea" localSheetId="3" hidden="1">'ПОКАЗАТЕЛИ ПТП '!$A$1:$S$68</definedName>
    <definedName name="Z_13EBDE9D_EC74_4522_9EED_363E735B4A78_.wvu.PrintArea" localSheetId="1" hidden="1">'Финансов план на ПТП'!$A$2:$M$18</definedName>
    <definedName name="Z_13EBDE9D_EC74_4522_9EED_363E735B4A78_.wvu.PrintArea" localSheetId="0" hidden="1">'Финансови бюджетни '!$A$4:$L$16</definedName>
    <definedName name="Z_145F2F6D_8F9C_4454_A0C6_DC4412ADDAB8_.wvu.FilterData" localSheetId="3" hidden="1">'ПОКАЗАТЕЛИ ПТП '!$A$1:$M$68</definedName>
    <definedName name="Z_15037349_416B_47B2_A085_519110C7C71D_.wvu.FilterData" localSheetId="3" hidden="1">'ПОКАЗАТЕЛИ ПТП '!$A$1:$M$68</definedName>
    <definedName name="Z_15A0B67B_444A_4BE4_B884_AC45439F2049_.wvu.FilterData" localSheetId="3" hidden="1">'ПОКАЗАТЕЛИ ПТП '!$A$1:$M$68</definedName>
    <definedName name="Z_185D5A4C_202F_4232_A5A2_CC2DAAA668F2_.wvu.FilterData" localSheetId="3" hidden="1">'ПОКАЗАТЕЛИ ПТП '!$A$1:$M$68</definedName>
    <definedName name="Z_19B2FE13_4ADE_46F6_A7FC_A6C8743715E4_.wvu.FilterData" localSheetId="3" hidden="1">'ПОКАЗАТЕЛИ ПТП '!$A$1:$M$70</definedName>
    <definedName name="Z_1BD32DC5_9A08_4A56_B88A_ADFACE5C3CDF_.wvu.FilterData" localSheetId="3" hidden="1">'ПОКАЗАТЕЛИ ПТП '!$A$1:$M$68</definedName>
    <definedName name="Z_21066EB9_DD75_47B4_8A3E_94154F74F4CD_.wvu.FilterData" localSheetId="3" hidden="1">'ПОКАЗАТЕЛИ ПТП '!$A$1:$M$68</definedName>
    <definedName name="Z_259EE139_4126_4E29_9864_DD4E8352A150_.wvu.FilterData" localSheetId="3" hidden="1">'ПОКАЗАТЕЛИ ПТП '!$A$1:$M$68</definedName>
    <definedName name="Z_261BF8DF_488A_4B87_9FD5_F26014C63E8B_.wvu.FilterData" localSheetId="3" hidden="1">'ПОКАЗАТЕЛИ ПТП '!$A$1:$M$68</definedName>
    <definedName name="Z_2A6315F5_C9A2_43A7_B337_00FD30A3EB26_.wvu.Cols" localSheetId="8" hidden="1">П3_Наука_Хоризонт!$N:$O</definedName>
    <definedName name="Z_2A6315F5_C9A2_43A7_B337_00FD30A3EB26_.wvu.FilterData" localSheetId="3" hidden="1">'ПОКАЗАТЕЛИ ПТП '!$A$1:$F$68</definedName>
    <definedName name="Z_2A6315F5_C9A2_43A7_B337_00FD30A3EB26_.wvu.PrintArea" localSheetId="2" hidden="1">'ОПНО_визия евро'!$A$1:$O$30</definedName>
    <definedName name="Z_2A6315F5_C9A2_43A7_B337_00FD30A3EB26_.wvu.PrintArea" localSheetId="7" hidden="1">'П3_Наука Изследвания'!$A$1:$M$14</definedName>
    <definedName name="Z_2A6315F5_C9A2_43A7_B337_00FD30A3EB26_.wvu.PrintArea" localSheetId="6" hidden="1">П3_Наука_Инфраструктура!$A$1:$L$16</definedName>
    <definedName name="Z_2A6315F5_C9A2_43A7_B337_00FD30A3EB26_.wvu.PrintArea" localSheetId="8" hidden="1">П3_Наука_Хоризонт!$A$1:$M$18</definedName>
    <definedName name="Z_2A6315F5_C9A2_43A7_B337_00FD30A3EB26_.wvu.PrintArea" localSheetId="3" hidden="1">'ПОКАЗАТЕЛИ ПТП '!$A$1:$F$68</definedName>
    <definedName name="Z_2A6315F5_C9A2_43A7_B337_00FD30A3EB26_.wvu.PrintArea" localSheetId="1" hidden="1">'Финансов план на ПТП'!$A$2:$M$18</definedName>
    <definedName name="Z_2A6315F5_C9A2_43A7_B337_00FD30A3EB26_.wvu.PrintArea" localSheetId="0" hidden="1">'Финансови бюджетни '!$A$4:$L$16</definedName>
    <definedName name="Z_2D89472C_6FA3_4F06_B286_03FBC9227214_.wvu.FilterData" localSheetId="3" hidden="1">'ПОКАЗАТЕЛИ ПТП '!$A$1:$M$68</definedName>
    <definedName name="Z_2E4D13C6_37F9_4995_96E1_27C1A960A6D4_.wvu.FilterData" localSheetId="3" hidden="1">'ПОКАЗАТЕЛИ ПТП '!$A$1:$M$68</definedName>
    <definedName name="Z_2FDFD1F9_CAA9_4788_BC6B_22023547642F_.wvu.FilterData" localSheetId="3" hidden="1">'ПОКАЗАТЕЛИ ПТП '!$A$1:$M$68</definedName>
    <definedName name="Z_32A281B9_28FB_4D0E_8C01_BFBADAC8C3C9_.wvu.Cols" localSheetId="8" hidden="1">П3_Наука_Хоризонт!$N:$O</definedName>
    <definedName name="Z_32A281B9_28FB_4D0E_8C01_BFBADAC8C3C9_.wvu.FilterData" localSheetId="3" hidden="1">'ПОКАЗАТЕЛИ ПТП '!$A$1:$M$70</definedName>
    <definedName name="Z_32A281B9_28FB_4D0E_8C01_BFBADAC8C3C9_.wvu.PrintArea" localSheetId="2" hidden="1">'ОПНО_визия евро'!$A$1:$O$30</definedName>
    <definedName name="Z_32A281B9_28FB_4D0E_8C01_BFBADAC8C3C9_.wvu.PrintArea" localSheetId="7" hidden="1">'П3_Наука Изследвания'!$A$1:$M$14</definedName>
    <definedName name="Z_32A281B9_28FB_4D0E_8C01_BFBADAC8C3C9_.wvu.PrintArea" localSheetId="6" hidden="1">П3_Наука_Инфраструктура!$A$1:$L$16</definedName>
    <definedName name="Z_32A281B9_28FB_4D0E_8C01_BFBADAC8C3C9_.wvu.PrintArea" localSheetId="8" hidden="1">П3_Наука_Хоризонт!$A$1:$M$18</definedName>
    <definedName name="Z_32A281B9_28FB_4D0E_8C01_BFBADAC8C3C9_.wvu.PrintArea" localSheetId="3" hidden="1">'ПОКАЗАТЕЛИ ПТП '!$A$1:$F$68</definedName>
    <definedName name="Z_32A281B9_28FB_4D0E_8C01_BFBADAC8C3C9_.wvu.PrintArea" localSheetId="1" hidden="1">'Финансов план на ПТП'!$A$2:$M$18</definedName>
    <definedName name="Z_32A281B9_28FB_4D0E_8C01_BFBADAC8C3C9_.wvu.PrintArea" localSheetId="0" hidden="1">'Финансови бюджетни '!$A$4:$L$16</definedName>
    <definedName name="Z_33934842_EF95_4E88_877F_758AD2A4D4D0_.wvu.FilterData" localSheetId="3" hidden="1">'ПОКАЗАТЕЛИ ПТП '!$A$1:$M$68</definedName>
    <definedName name="Z_3542DC62_8B17_4771_8CD4_EC4D5976F83F_.wvu.FilterData" localSheetId="3" hidden="1">'ПОКАЗАТЕЛИ ПТП '!$A$1:$M$68</definedName>
    <definedName name="Z_35D4AF83_4544_40E7_9B86_06957E47EADA_.wvu.FilterData" localSheetId="3" hidden="1">'ПОКАЗАТЕЛИ ПТП '!$A$1:$M$70</definedName>
    <definedName name="Z_38511207_ABF2_41F4_A20A_B7A537CE4931_.wvu.FilterData" localSheetId="3" hidden="1">'ПОКАЗАТЕЛИ ПТП '!$A$1:$M$68</definedName>
    <definedName name="Z_3A6DB9D9_5330_452D_8F5E_7E32B3EA3555_.wvu.FilterData" localSheetId="3" hidden="1">'ПОКАЗАТЕЛИ ПТП '!$A$1:$M$68</definedName>
    <definedName name="Z_44C2A125_6E47_4224_AD84_727CF0E61F69_.wvu.FilterData" localSheetId="3" hidden="1">'ПОКАЗАТЕЛИ ПТП '!$A$1:$M$68</definedName>
    <definedName name="Z_44ED0E52_D049_4834_BFF1_52C0F93E789F_.wvu.FilterData" localSheetId="3" hidden="1">'ПОКАЗАТЕЛИ ПТП '!$A$1:$M$68</definedName>
    <definedName name="Z_450731DB_4BF9_4C9E_BDB4_C26D40562C68_.wvu.FilterData" localSheetId="3" hidden="1">'ПОКАЗАТЕЛИ ПТП '!$A$1:$M$68</definedName>
    <definedName name="Z_46A1F39A_22E7_4B48_903F_3893C818F1C6_.wvu.FilterData" localSheetId="3" hidden="1">'ПОКАЗАТЕЛИ ПТП '!$A$1:$M$68</definedName>
    <definedName name="Z_478865FB_599C_4C08_B032_427D6B351E57_.wvu.FilterData" localSheetId="3" hidden="1">'ПОКАЗАТЕЛИ ПТП '!$A$1:$F$68</definedName>
    <definedName name="Z_482EE438_5A4D_47B6_8226_D81C53B1B63E_.wvu.FilterData" localSheetId="3" hidden="1">'ПОКАЗАТЕЛИ ПТП '!$A$1:$M$70</definedName>
    <definedName name="Z_4B76E996_E18A_4D36_9A80_B1281B72C0DD_.wvu.FilterData" localSheetId="3" hidden="1">'ПОКАЗАТЕЛИ ПТП '!$A$1:$M$70</definedName>
    <definedName name="Z_4BB0384E_0437_4789_8DE5_FCBF7515AB0F_.wvu.FilterData" localSheetId="3" hidden="1">'ПОКАЗАТЕЛИ ПТП '!$A$1:$M$68</definedName>
    <definedName name="Z_4C25F96D_2B28_4301_92A1_E2682EC0223B_.wvu.FilterData" localSheetId="3" hidden="1">'ПОКАЗАТЕЛИ ПТП '!$A$1:$F$68</definedName>
    <definedName name="Z_4E01AB9E_03A5_44D2_9D9C_890FF04B5AD8_.wvu.FilterData" localSheetId="3" hidden="1">'ПОКАЗАТЕЛИ ПТП '!$A$1:$M$68</definedName>
    <definedName name="Z_508EDACC_2A92_47E6_91D4_24FD126F7EE3_.wvu.FilterData" localSheetId="3" hidden="1">'ПОКАЗАТЕЛИ ПТП '!$A$1:$M$68</definedName>
    <definedName name="Z_539634CF_44A3_4428_8D5D_280293A38ACF_.wvu.FilterData" localSheetId="3" hidden="1">'ПОКАЗАТЕЛИ ПТП '!$A$1:$M$68</definedName>
    <definedName name="Z_53A95ABA_92F3_4325_87CC_0C68A48FAF1F_.wvu.FilterData" localSheetId="3" hidden="1">'ПОКАЗАТЕЛИ ПТП '!$A$1:$M$68</definedName>
    <definedName name="Z_56BC42A3_D967_4F27_BD5A_CB0B8CB7F657_.wvu.Cols" localSheetId="8" hidden="1">П3_Наука_Хоризонт!$N:$O</definedName>
    <definedName name="Z_56BC42A3_D967_4F27_BD5A_CB0B8CB7F657_.wvu.FilterData" localSheetId="3" hidden="1">'ПОКАЗАТЕЛИ ПТП '!$A$1:$M$68</definedName>
    <definedName name="Z_56BC42A3_D967_4F27_BD5A_CB0B8CB7F657_.wvu.PrintArea" localSheetId="2" hidden="1">'ОПНО_визия евро'!$A$1:$O$30</definedName>
    <definedName name="Z_56BC42A3_D967_4F27_BD5A_CB0B8CB7F657_.wvu.PrintArea" localSheetId="7" hidden="1">'П3_Наука Изследвания'!$A$1:$M$14</definedName>
    <definedName name="Z_56BC42A3_D967_4F27_BD5A_CB0B8CB7F657_.wvu.PrintArea" localSheetId="6" hidden="1">П3_Наука_Инфраструктура!$A$1:$L$16</definedName>
    <definedName name="Z_56BC42A3_D967_4F27_BD5A_CB0B8CB7F657_.wvu.PrintArea" localSheetId="8" hidden="1">П3_Наука_Хоризонт!$A$1:$M$18</definedName>
    <definedName name="Z_56BC42A3_D967_4F27_BD5A_CB0B8CB7F657_.wvu.PrintArea" localSheetId="3" hidden="1">'ПОКАЗАТЕЛИ ПТП '!$A$1:$F$68</definedName>
    <definedName name="Z_56BC42A3_D967_4F27_BD5A_CB0B8CB7F657_.wvu.PrintArea" localSheetId="1" hidden="1">'Финансов план на ПТП'!$A$2:$M$18</definedName>
    <definedName name="Z_56BC42A3_D967_4F27_BD5A_CB0B8CB7F657_.wvu.PrintArea" localSheetId="0" hidden="1">'Финансови бюджетни '!$A$4:$L$16</definedName>
    <definedName name="Z_594063B7_0116_4985_9B71_4712FA8932F2_.wvu.FilterData" localSheetId="3" hidden="1">'ПОКАЗАТЕЛИ ПТП '!$A$1:$M$68</definedName>
    <definedName name="Z_59556E99_6985_48CB_9B1C_3F9D4BC561CE_.wvu.FilterData" localSheetId="3" hidden="1">'ПОКАЗАТЕЛИ ПТП '!$A$1:$F$68</definedName>
    <definedName name="Z_59C92782_F552_4F83_88F2_58AD0899CA3F_.wvu.FilterData" localSheetId="3" hidden="1">'ПОКАЗАТЕЛИ ПТП '!$A$1:$F$68</definedName>
    <definedName name="Z_5F3C4B6F_44D6_43BD_BE64_BC56B66D339E_.wvu.FilterData" localSheetId="3" hidden="1">'ПОКАЗАТЕЛИ ПТП '!$A$1:$M$68</definedName>
    <definedName name="Z_60392FDC_0979_4005_8F6B_4B6A89DCED03_.wvu.FilterData" localSheetId="3" hidden="1">'ПОКАЗАТЕЛИ ПТП '!$A$1:$M$68</definedName>
    <definedName name="Z_60786D3F_F644_47DC_B85B_1DC39C92BC6A_.wvu.FilterData" localSheetId="3" hidden="1">'ПОКАЗАТЕЛИ ПТП '!$A$1:$M$68</definedName>
    <definedName name="Z_60ABE2B3_B68E_4D05_9061_183F6B2424F3_.wvu.FilterData" localSheetId="3" hidden="1">'ПОКАЗАТЕЛИ ПТП '!$A$1:$M$68</definedName>
    <definedName name="Z_616E1976_58DE_4466_8922_C10B7D674852_.wvu.FilterData" localSheetId="3" hidden="1">'ПОКАЗАТЕЛИ ПТП '!$A$1:$M$68</definedName>
    <definedName name="Z_688CB038_F282_4990_A834_4AD321619C8C_.wvu.FilterData" localSheetId="3" hidden="1">'ПОКАЗАТЕЛИ ПТП '!$A$1:$M$68</definedName>
    <definedName name="Z_6DE7F3B1_A2A5_4DF3_AB28_CEC05645DF79_.wvu.FilterData" localSheetId="3" hidden="1">'ПОКАЗАТЕЛИ ПТП '!$A$1:$M$68</definedName>
    <definedName name="Z_706ED943_D14E_4B19_B1BF_18F11D303E32_.wvu.FilterData" localSheetId="3" hidden="1">'ПОКАЗАТЕЛИ ПТП '!$A$1:$M$68</definedName>
    <definedName name="Z_77799D3C_38E2_410A_80FA_AECD8E6AB89B_.wvu.Cols" localSheetId="8" hidden="1">П3_Наука_Хоризонт!$N:$O</definedName>
    <definedName name="Z_77799D3C_38E2_410A_80FA_AECD8E6AB89B_.wvu.FilterData" localSheetId="3" hidden="1">'ПОКАЗАТЕЛИ ПТП '!$A$1:$M$70</definedName>
    <definedName name="Z_77799D3C_38E2_410A_80FA_AECD8E6AB89B_.wvu.PrintArea" localSheetId="2" hidden="1">'ОПНО_визия евро'!$A$1:$O$30</definedName>
    <definedName name="Z_77799D3C_38E2_410A_80FA_AECD8E6AB89B_.wvu.PrintArea" localSheetId="7" hidden="1">'П3_Наука Изследвания'!$A$1:$M$14</definedName>
    <definedName name="Z_77799D3C_38E2_410A_80FA_AECD8E6AB89B_.wvu.PrintArea" localSheetId="6" hidden="1">П3_Наука_Инфраструктура!$A$1:$L$16</definedName>
    <definedName name="Z_77799D3C_38E2_410A_80FA_AECD8E6AB89B_.wvu.PrintArea" localSheetId="8" hidden="1">П3_Наука_Хоризонт!$A$1:$M$18</definedName>
    <definedName name="Z_77799D3C_38E2_410A_80FA_AECD8E6AB89B_.wvu.PrintArea" localSheetId="3" hidden="1">'ПОКАЗАТЕЛИ ПТП '!$A$1:$F$68</definedName>
    <definedName name="Z_77799D3C_38E2_410A_80FA_AECD8E6AB89B_.wvu.PrintArea" localSheetId="1" hidden="1">'Финансов план на ПТП'!$A$2:$M$18</definedName>
    <definedName name="Z_77799D3C_38E2_410A_80FA_AECD8E6AB89B_.wvu.PrintArea" localSheetId="0" hidden="1">'Финансови бюджетни '!$A$4:$L$16</definedName>
    <definedName name="Z_789DF1D1_5B2F_4DBB_A27D_7F65A344A4B0_.wvu.FilterData" localSheetId="3" hidden="1">'ПОКАЗАТЕЛИ ПТП '!$A$1:$M$68</definedName>
    <definedName name="Z_78C4BE07_3D6D_48FF_829A_93E03342FDC1_.wvu.FilterData" localSheetId="3" hidden="1">'ПОКАЗАТЕЛИ ПТП '!$A$1:$M$68</definedName>
    <definedName name="Z_7AFACEE3_4130_438F_9B62_F00738166982_.wvu.FilterData" localSheetId="3" hidden="1">'ПОКАЗАТЕЛИ ПТП '!$A$1:$M$68</definedName>
    <definedName name="Z_7BC33F16_0A52_48FA_9587_E7C66DF4A2C2_.wvu.FilterData" localSheetId="3" hidden="1">'ПОКАЗАТЕЛИ ПТП '!$A$1:$M$68</definedName>
    <definedName name="Z_7C398563_66C1_4EF6_BC12_42FA6233B0B8_.wvu.FilterData" localSheetId="3" hidden="1">'ПОКАЗАТЕЛИ ПТП '!$A$1:$M$68</definedName>
    <definedName name="Z_7E4C5ABB_6A83_448F_97BF_009D8C7CCFE4_.wvu.FilterData" localSheetId="3" hidden="1">'ПОКАЗАТЕЛИ ПТП '!$A$1:$M$68</definedName>
    <definedName name="Z_7F2EA1C4_55AA_4612_84FA_501681582C12_.wvu.FilterData" localSheetId="3" hidden="1">'ПОКАЗАТЕЛИ ПТП '!$A$1:$M$68</definedName>
    <definedName name="Z_84A71B46_60CD_407A_89F3_857B06992E7A_.wvu.FilterData" localSheetId="3" hidden="1">'ПОКАЗАТЕЛИ ПТП '!$A$1:$M$68</definedName>
    <definedName name="Z_865CDE92_7D88_495D_90A0_9A0951E8EE5B_.wvu.FilterData" localSheetId="3" hidden="1">'ПОКАЗАТЕЛИ ПТП '!$A$1:$M$68</definedName>
    <definedName name="Z_872D2DA5_7BEF_480F_BD4A_211DAFB5A8E3_.wvu.FilterData" localSheetId="3" hidden="1">'ПОКАЗАТЕЛИ ПТП '!$A$1:$M$68</definedName>
    <definedName name="Z_878BA027_57A8_44BE_B4C6_7E97B44F94A2_.wvu.FilterData" localSheetId="3" hidden="1">'ПОКАЗАТЕЛИ ПТП '!$A$1:$M$68</definedName>
    <definedName name="Z_88974E4A_2D2B_42DC_8EA2_54A59A77B0D5_.wvu.FilterData" localSheetId="3" hidden="1">'ПОКАЗАТЕЛИ ПТП '!$A$1:$M$68</definedName>
    <definedName name="Z_8AB8B59D_AA09_4081_BE27_99D08A07BA31_.wvu.FilterData" localSheetId="3" hidden="1">'ПОКАЗАТЕЛИ ПТП '!$A$1:$M$68</definedName>
    <definedName name="Z_8B6D65BC_AB77_4F9F_BB5E_C848F5C1D363_.wvu.FilterData" localSheetId="3" hidden="1">'ПОКАЗАТЕЛИ ПТП '!$A$1:$M$68</definedName>
    <definedName name="Z_8F340EDE_FB25_4830_AA64_0CB34D06C1E0_.wvu.FilterData" localSheetId="3" hidden="1">'ПОКАЗАТЕЛИ ПТП '!$A$1:$M$68</definedName>
    <definedName name="Z_9180A044_BC68_4F4E_8E32_4F4879630C5D_.wvu.FilterData" localSheetId="3" hidden="1">'ПОКАЗАТЕЛИ ПТП '!$A$1:$M$68</definedName>
    <definedName name="Z_91AF3DAF_3A21_4047_95E4_323BC50341B9_.wvu.FilterData" localSheetId="3" hidden="1">'ПОКАЗАТЕЛИ ПТП '!$A$1:$M$68</definedName>
    <definedName name="Z_967C2AF1_5EDF_4EFB_9B6E_F068F0A377ED_.wvu.FilterData" localSheetId="3" hidden="1">'ПОКАЗАТЕЛИ ПТП '!$A$1:$M$68</definedName>
    <definedName name="Z_97473967_553B_4F9C_B199_B080F6D50764_.wvu.FilterData" localSheetId="3" hidden="1">'ПОКАЗАТЕЛИ ПТП '!$A$2:$F$57</definedName>
    <definedName name="Z_98583CFF_58DC_4FB4_88DF_28748AEF91F6_.wvu.FilterData" localSheetId="3" hidden="1">'ПОКАЗАТЕЛИ ПТП '!$A$1:$M$68</definedName>
    <definedName name="Z_98FCE1DD_8BAE_472D_9734_AEB84FC63C88_.wvu.FilterData" localSheetId="3" hidden="1">'ПОКАЗАТЕЛИ ПТП '!$A$1:$M$68</definedName>
    <definedName name="Z_9CB77FEE_E4A3_4A18_85E7_45FCDC188FE9_.wvu.FilterData" localSheetId="3" hidden="1">'ПОКАЗАТЕЛИ ПТП '!$A$1:$M$68</definedName>
    <definedName name="Z_9CD5F6CE_0E1C_42DA_A598_93523B740CBC_.wvu.Cols" localSheetId="8" hidden="1">П3_Наука_Хоризонт!$N:$O</definedName>
    <definedName name="Z_9CD5F6CE_0E1C_42DA_A598_93523B740CBC_.wvu.FilterData" localSheetId="3" hidden="1">'ПОКАЗАТЕЛИ ПТП '!$A$2:$F$57</definedName>
    <definedName name="Z_9CD5F6CE_0E1C_42DA_A598_93523B740CBC_.wvu.PrintArea" localSheetId="2" hidden="1">'ОПНО_визия евро'!$A$1:$O$30</definedName>
    <definedName name="Z_9CD5F6CE_0E1C_42DA_A598_93523B740CBC_.wvu.PrintArea" localSheetId="7" hidden="1">'П3_Наука Изследвания'!$A$1:$M$14</definedName>
    <definedName name="Z_9CD5F6CE_0E1C_42DA_A598_93523B740CBC_.wvu.PrintArea" localSheetId="6" hidden="1">П3_Наука_Инфраструктура!$A$1:$L$16</definedName>
    <definedName name="Z_9CD5F6CE_0E1C_42DA_A598_93523B740CBC_.wvu.PrintArea" localSheetId="8" hidden="1">П3_Наука_Хоризонт!$A$1:$M$18</definedName>
    <definedName name="Z_9CD5F6CE_0E1C_42DA_A598_93523B740CBC_.wvu.PrintArea" localSheetId="1" hidden="1">'Финансов план на ПТП'!$A$2:$M$18</definedName>
    <definedName name="Z_9CD5F6CE_0E1C_42DA_A598_93523B740CBC_.wvu.PrintArea" localSheetId="0" hidden="1">'Финансови бюджетни '!$A$4:$L$16</definedName>
    <definedName name="Z_9CF8157C_F9C6_42F2_BC91_4E0E92F3E150_.wvu.FilterData" localSheetId="3" hidden="1">'ПОКАЗАТЕЛИ ПТП '!$A$1:$M$68</definedName>
    <definedName name="Z_A258819D_1B77_4856_A4E1_9B3140AD5721_.wvu.FilterData" localSheetId="3" hidden="1">'ПОКАЗАТЕЛИ ПТП '!$A$1:$M$70</definedName>
    <definedName name="Z_A44EDE4C_7411_45F3_9DDB_5D396C6F8E30_.wvu.FilterData" localSheetId="3" hidden="1">'ПОКАЗАТЕЛИ ПТП '!$A$1:$M$68</definedName>
    <definedName name="Z_A47A44D7_E2B5_46C7_A48C_49088F2604E0_.wvu.FilterData" localSheetId="3" hidden="1">'ПОКАЗАТЕЛИ ПТП '!$A$1:$M$68</definedName>
    <definedName name="Z_A5E45A22_7E45_4C8C_90B4_681EA05978BA_.wvu.FilterData" localSheetId="3" hidden="1">'ПОКАЗАТЕЛИ ПТП '!$A$1:$M$68</definedName>
    <definedName name="Z_A92C6647_AB29_4B6A_AC26_5A7AE5C58888_.wvu.FilterData" localSheetId="3" hidden="1">'ПОКАЗАТЕЛИ ПТП '!$A$1:$M$68</definedName>
    <definedName name="Z_A9E76DC5_461B_4C57_B245_F038800639FE_.wvu.FilterData" localSheetId="3" hidden="1">'ПОКАЗАТЕЛИ ПТП '!$A$1:$M$68</definedName>
    <definedName name="Z_AB278974_DE54_492A_9691_AEB99B62A374_.wvu.FilterData" localSheetId="3" hidden="1">'ПОКАЗАТЕЛИ ПТП '!$A$1:$M$68</definedName>
    <definedName name="Z_ACEB7F85_A977_4456_AFE3_A35E17DA1D56_.wvu.FilterData" localSheetId="3" hidden="1">'ПОКАЗАТЕЛИ ПТП '!$A$1:$M$68</definedName>
    <definedName name="Z_AD504361_49F3_4986_BDBF_FB73E2299976_.wvu.Cols" localSheetId="8" hidden="1">П3_Наука_Хоризонт!$N:$O</definedName>
    <definedName name="Z_AD504361_49F3_4986_BDBF_FB73E2299976_.wvu.FilterData" localSheetId="3" hidden="1">'ПОКАЗАТЕЛИ ПТП '!$A$1:$M$68</definedName>
    <definedName name="Z_AD504361_49F3_4986_BDBF_FB73E2299976_.wvu.PrintArea" localSheetId="2" hidden="1">'ОПНО_визия евро'!$A$1:$O$30</definedName>
    <definedName name="Z_AD504361_49F3_4986_BDBF_FB73E2299976_.wvu.PrintArea" localSheetId="7" hidden="1">'П3_Наука Изследвания'!$A$1:$M$14</definedName>
    <definedName name="Z_AD504361_49F3_4986_BDBF_FB73E2299976_.wvu.PrintArea" localSheetId="6" hidden="1">П3_Наука_Инфраструктура!$A$1:$L$16</definedName>
    <definedName name="Z_AD504361_49F3_4986_BDBF_FB73E2299976_.wvu.PrintArea" localSheetId="8" hidden="1">П3_Наука_Хоризонт!$A$1:$M$18</definedName>
    <definedName name="Z_AD504361_49F3_4986_BDBF_FB73E2299976_.wvu.PrintArea" localSheetId="3" hidden="1">'ПОКАЗАТЕЛИ ПТП '!$A$1:$F$68</definedName>
    <definedName name="Z_AD504361_49F3_4986_BDBF_FB73E2299976_.wvu.PrintArea" localSheetId="1" hidden="1">'Финансов план на ПТП'!$A$2:$M$18</definedName>
    <definedName name="Z_AD504361_49F3_4986_BDBF_FB73E2299976_.wvu.PrintArea" localSheetId="0" hidden="1">'Финансови бюджетни '!$A$4:$L$16</definedName>
    <definedName name="Z_ADE2AED5_CCF6_4A00_B664_C2C49B9BEF5C_.wvu.FilterData" localSheetId="3" hidden="1">'ПОКАЗАТЕЛИ ПТП '!$A$1:$M$68</definedName>
    <definedName name="Z_AFB558D7_B68D_403E_9CDE_53616F2B37D7_.wvu.FilterData" localSheetId="3" hidden="1">'ПОКАЗАТЕЛИ ПТП '!$A$1:$M$68</definedName>
    <definedName name="Z_B1A1AEA2_F407_4A00_872D_F8AA3FCCAB28_.wvu.FilterData" localSheetId="3" hidden="1">'ПОКАЗАТЕЛИ ПТП '!$A$1:$M$68</definedName>
    <definedName name="Z_B2580134_98E8_447F_87D8_04F8DB5252C2_.wvu.FilterData" localSheetId="3" hidden="1">'ПОКАЗАТЕЛИ ПТП '!$A$2:$F$57</definedName>
    <definedName name="Z_B3762A0B_85CA_444A_8DD2_564EE243944D_.wvu.FilterData" localSheetId="3" hidden="1">'ПОКАЗАТЕЛИ ПТП '!$A$1:$M$68</definedName>
    <definedName name="Z_B426F9F8_EB1A_4D7B_9478_7E22D414CC12_.wvu.Cols" localSheetId="8" hidden="1">П3_Наука_Хоризонт!$N:$O</definedName>
    <definedName name="Z_B426F9F8_EB1A_4D7B_9478_7E22D414CC12_.wvu.FilterData" localSheetId="3" hidden="1">'ПОКАЗАТЕЛИ ПТП '!$A$1:$M$70</definedName>
    <definedName name="Z_B426F9F8_EB1A_4D7B_9478_7E22D414CC12_.wvu.PrintArea" localSheetId="2" hidden="1">'ОПНО_визия евро'!$A$1:$O$30</definedName>
    <definedName name="Z_B426F9F8_EB1A_4D7B_9478_7E22D414CC12_.wvu.PrintArea" localSheetId="7" hidden="1">'П3_Наука Изследвания'!$A$1:$M$14</definedName>
    <definedName name="Z_B426F9F8_EB1A_4D7B_9478_7E22D414CC12_.wvu.PrintArea" localSheetId="6" hidden="1">П3_Наука_Инфраструктура!$A$1:$L$16</definedName>
    <definedName name="Z_B426F9F8_EB1A_4D7B_9478_7E22D414CC12_.wvu.PrintArea" localSheetId="8" hidden="1">П3_Наука_Хоризонт!$A$1:$M$18</definedName>
    <definedName name="Z_B426F9F8_EB1A_4D7B_9478_7E22D414CC12_.wvu.PrintArea" localSheetId="3" hidden="1">'ПОКАЗАТЕЛИ ПТП '!$A$1:$F$68</definedName>
    <definedName name="Z_B426F9F8_EB1A_4D7B_9478_7E22D414CC12_.wvu.PrintArea" localSheetId="1" hidden="1">'Финансов план на ПТП'!$A$2:$M$18</definedName>
    <definedName name="Z_B426F9F8_EB1A_4D7B_9478_7E22D414CC12_.wvu.PrintArea" localSheetId="0" hidden="1">'Финансови бюджетни '!$A$4:$L$16</definedName>
    <definedName name="Z_B4CD06E5_0F7A_4CD2_A1B8_48ECAD5ED7A0_.wvu.FilterData" localSheetId="3" hidden="1">'ПОКАЗАТЕЛИ ПТП '!$A$1:$M$70</definedName>
    <definedName name="Z_B51586A5_537D_4B84_901E_178643F0D236_.wvu.FilterData" localSheetId="3" hidden="1">'ПОКАЗАТЕЛИ ПТП '!$A$1:$M$68</definedName>
    <definedName name="Z_B5DDA91F_EC18_4D67_A347_1883CDE2FFF4_.wvu.FilterData" localSheetId="3" hidden="1">'ПОКАЗАТЕЛИ ПТП '!$A$1:$M$68</definedName>
    <definedName name="Z_BA49FD0F_AB35_48A1_AD22_91FD674A6FB2_.wvu.FilterData" localSheetId="3" hidden="1">'ПОКАЗАТЕЛИ ПТП '!$A$1:$M$68</definedName>
    <definedName name="Z_C045550C_87F3_453F_B207_735FDF4C6AEC_.wvu.FilterData" localSheetId="3" hidden="1">'ПОКАЗАТЕЛИ ПТП '!$A$1:$M$68</definedName>
    <definedName name="Z_C2AD75A7_2631_4E7D_942F_B2AB060AAA09_.wvu.FilterData" localSheetId="3" hidden="1">'ПОКАЗАТЕЛИ ПТП '!$A$1:$M$68</definedName>
    <definedName name="Z_C6B8F34A_F1E4_4D67_A924_DA21D14BBA7E_.wvu.FilterData" localSheetId="3" hidden="1">'ПОКАЗАТЕЛИ ПТП '!$A$1:$M$68</definedName>
    <definedName name="Z_C6DB5879_32A9_403F_864A_4BAA95BB7747_.wvu.FilterData" localSheetId="3" hidden="1">'ПОКАЗАТЕЛИ ПТП '!$A$1:$M$68</definedName>
    <definedName name="Z_C6F190A0_1065_4334_BB3D_A201C52D19BC_.wvu.FilterData" localSheetId="3" hidden="1">'ПОКАЗАТЕЛИ ПТП '!$A$1:$M$68</definedName>
    <definedName name="Z_CD0DA7C6_AE0D_4D8C_8DEC_9E1E1BD6C5A7_.wvu.FilterData" localSheetId="3" hidden="1">'ПОКАЗАТЕЛИ ПТП '!$A$1:$M$68</definedName>
    <definedName name="Z_CDFE6D91_C19B_4A37_8497_E1930B99F06E_.wvu.FilterData" localSheetId="3" hidden="1">'ПОКАЗАТЕЛИ ПТП '!$A$1:$M$68</definedName>
    <definedName name="Z_CE577872_512D_4445_82A3_E45C406A456B_.wvu.FilterData" localSheetId="3" hidden="1">'ПОКАЗАТЕЛИ ПТП '!$A$1:$M$68</definedName>
    <definedName name="Z_D1764B63_B88F_4276_A634_B6297D05F3AB_.wvu.FilterData" localSheetId="3" hidden="1">'ПОКАЗАТЕЛИ ПТП '!$A$1:$M$70</definedName>
    <definedName name="Z_D1BD168D_40B4_46AB_88B7_64C22520CFA0_.wvu.Cols" localSheetId="8" hidden="1">П3_Наука_Хоризонт!$N:$O</definedName>
    <definedName name="Z_D1BD168D_40B4_46AB_88B7_64C22520CFA0_.wvu.FilterData" localSheetId="3" hidden="1">'ПОКАЗАТЕЛИ ПТП '!$A$1:$M$68</definedName>
    <definedName name="Z_D1BD168D_40B4_46AB_88B7_64C22520CFA0_.wvu.PrintArea" localSheetId="2" hidden="1">'ОПНО_визия евро'!$A$1:$O$30</definedName>
    <definedName name="Z_D1BD168D_40B4_46AB_88B7_64C22520CFA0_.wvu.PrintArea" localSheetId="7" hidden="1">'П3_Наука Изследвания'!$A$1:$M$14</definedName>
    <definedName name="Z_D1BD168D_40B4_46AB_88B7_64C22520CFA0_.wvu.PrintArea" localSheetId="6" hidden="1">П3_Наука_Инфраструктура!$A$1:$L$16</definedName>
    <definedName name="Z_D1BD168D_40B4_46AB_88B7_64C22520CFA0_.wvu.PrintArea" localSheetId="8" hidden="1">П3_Наука_Хоризонт!$A$1:$M$18</definedName>
    <definedName name="Z_D1BD168D_40B4_46AB_88B7_64C22520CFA0_.wvu.PrintArea" localSheetId="3" hidden="1">'ПОКАЗАТЕЛИ ПТП '!$A$1:$F$68</definedName>
    <definedName name="Z_D1BD168D_40B4_46AB_88B7_64C22520CFA0_.wvu.PrintArea" localSheetId="1" hidden="1">'Финансов план на ПТП'!$A$2:$M$18</definedName>
    <definedName name="Z_D1BD168D_40B4_46AB_88B7_64C22520CFA0_.wvu.PrintArea" localSheetId="0" hidden="1">'Финансови бюджетни '!$A$4:$L$16</definedName>
    <definedName name="Z_D55A2AC3_0B6C_43D7_B147_934C8D1C734D_.wvu.FilterData" localSheetId="3" hidden="1">'ПОКАЗАТЕЛИ ПТП '!$A$1:$M$68</definedName>
    <definedName name="Z_D9DEA245_E231_4080_A4D0_FA9FB96DEAC7_.wvu.FilterData" localSheetId="3" hidden="1">'ПОКАЗАТЕЛИ ПТП '!$A$1:$M$68</definedName>
    <definedName name="Z_DBD059FC_E21C_4532_B008_88F77AB2724E_.wvu.FilterData" localSheetId="3" hidden="1">'ПОКАЗАТЕЛИ ПТП '!$A$1:$M$68</definedName>
    <definedName name="Z_DCE53AB0_D536_4F68_9C51_8F24A0125ED3_.wvu.FilterData" localSheetId="3" hidden="1">'ПОКАЗАТЕЛИ ПТП '!$A$1:$F$68</definedName>
    <definedName name="Z_DD0EA6D3_BC8C_40D3_B12F_B88059C8E3DC_.wvu.Cols" localSheetId="8" hidden="1">П3_Наука_Хоризонт!$N:$O</definedName>
    <definedName name="Z_DD0EA6D3_BC8C_40D3_B12F_B88059C8E3DC_.wvu.FilterData" localSheetId="3" hidden="1">'ПОКАЗАТЕЛИ ПТП '!$A$1:$M$70</definedName>
    <definedName name="Z_DD0EA6D3_BC8C_40D3_B12F_B88059C8E3DC_.wvu.PrintArea" localSheetId="2" hidden="1">'ОПНО_визия евро'!$A$1:$O$30</definedName>
    <definedName name="Z_DD0EA6D3_BC8C_40D3_B12F_B88059C8E3DC_.wvu.PrintArea" localSheetId="7" hidden="1">'П3_Наука Изследвания'!$A$1:$M$14</definedName>
    <definedName name="Z_DD0EA6D3_BC8C_40D3_B12F_B88059C8E3DC_.wvu.PrintArea" localSheetId="6" hidden="1">П3_Наука_Инфраструктура!$A$1:$L$16</definedName>
    <definedName name="Z_DD0EA6D3_BC8C_40D3_B12F_B88059C8E3DC_.wvu.PrintArea" localSheetId="8" hidden="1">П3_Наука_Хоризонт!$A$1:$M$18</definedName>
    <definedName name="Z_DD0EA6D3_BC8C_40D3_B12F_B88059C8E3DC_.wvu.PrintArea" localSheetId="3" hidden="1">'ПОКАЗАТЕЛИ ПТП '!$A$1:$F$68</definedName>
    <definedName name="Z_DD0EA6D3_BC8C_40D3_B12F_B88059C8E3DC_.wvu.PrintArea" localSheetId="1" hidden="1">'Финансов план на ПТП'!$A$2:$M$18</definedName>
    <definedName name="Z_DD0EA6D3_BC8C_40D3_B12F_B88059C8E3DC_.wvu.PrintArea" localSheetId="0" hidden="1">'Финансови бюджетни '!$A$4:$L$16</definedName>
    <definedName name="Z_DF2C4FDE_E1F5_4237_AAD0_8EC7F5D509D3_.wvu.FilterData" localSheetId="3" hidden="1">'ПОКАЗАТЕЛИ ПТП '!$A$1:$M$68</definedName>
    <definedName name="Z_DFC16DFA_D513_4368_8B92_9E363A26CBAC_.wvu.FilterData" localSheetId="3" hidden="1">'ПОКАЗАТЕЛИ ПТП '!$A$1:$F$68</definedName>
    <definedName name="Z_E02E7249_07F4_422F_A943_309A7F33CE91_.wvu.FilterData" localSheetId="3" hidden="1">'ПОКАЗАТЕЛИ ПТП '!$A$1:$M$70</definedName>
    <definedName name="Z_E07B67F4_8A17_4050_B9B8_81977BCB02E2_.wvu.Cols" localSheetId="8" hidden="1">П3_Наука_Хоризонт!$N:$O</definedName>
    <definedName name="Z_E07B67F4_8A17_4050_B9B8_81977BCB02E2_.wvu.Cols" localSheetId="3" hidden="1">'ПОКАЗАТЕЛИ ПТП '!#REF!</definedName>
    <definedName name="Z_E07B67F4_8A17_4050_B9B8_81977BCB02E2_.wvu.FilterData" localSheetId="3" hidden="1">'ПОКАЗАТЕЛИ ПТП '!$A$2:$F$57</definedName>
    <definedName name="Z_E07B67F4_8A17_4050_B9B8_81977BCB02E2_.wvu.PrintArea" localSheetId="2" hidden="1">'ОПНО_визия евро'!$A$1:$O$30</definedName>
    <definedName name="Z_E07B67F4_8A17_4050_B9B8_81977BCB02E2_.wvu.PrintArea" localSheetId="7" hidden="1">'П3_Наука Изследвания'!$A$1:$M$14</definedName>
    <definedName name="Z_E07B67F4_8A17_4050_B9B8_81977BCB02E2_.wvu.PrintArea" localSheetId="6" hidden="1">П3_Наука_Инфраструктура!$A$1:$L$16</definedName>
    <definedName name="Z_E07B67F4_8A17_4050_B9B8_81977BCB02E2_.wvu.PrintArea" localSheetId="8" hidden="1">П3_Наука_Хоризонт!$A$1:$M$18</definedName>
    <definedName name="Z_E07B67F4_8A17_4050_B9B8_81977BCB02E2_.wvu.PrintArea" localSheetId="3" hidden="1">'ПОКАЗАТЕЛИ ПТП '!$A$1:$F$39</definedName>
    <definedName name="Z_E07B67F4_8A17_4050_B9B8_81977BCB02E2_.wvu.PrintArea" localSheetId="1" hidden="1">'Финансов план на ПТП'!$A$2:$M$18</definedName>
    <definedName name="Z_E07B67F4_8A17_4050_B9B8_81977BCB02E2_.wvu.PrintArea" localSheetId="0" hidden="1">'Финансови бюджетни '!$A$4:$L$16</definedName>
    <definedName name="Z_E5A8F870_8CE7_4427_AA04_39625D3E8CB8_.wvu.FilterData" localSheetId="3" hidden="1">'ПОКАЗАТЕЛИ ПТП '!$A$1:$M$70</definedName>
    <definedName name="Z_E8A18EBC_3424_406E_AAEE_4A906005FE15_.wvu.FilterData" localSheetId="3" hidden="1">'ПОКАЗАТЕЛИ ПТП '!$A$1:$M$70</definedName>
    <definedName name="Z_ECC2290F_3EDB_4B87_95E7_39D418B19680_.wvu.FilterData" localSheetId="3" hidden="1">'ПОКАЗАТЕЛИ ПТП '!$A$1:$M$68</definedName>
    <definedName name="Z_EF25795A_3B6F_4507_92B9_EAF5B0884E9E_.wvu.FilterData" localSheetId="3" hidden="1">'ПОКАЗАТЕЛИ ПТП '!$A$1:$M$68</definedName>
    <definedName name="Z_F055BC8A_093D_41C6_B580_0ABA34413A59_.wvu.FilterData" localSheetId="3" hidden="1">'ПОКАЗАТЕЛИ ПТП '!$A$1:$M$68</definedName>
    <definedName name="Z_F296FD54_9E2C_49C0_807F_4D606DDA42BB_.wvu.FilterData" localSheetId="3" hidden="1">'ПОКАЗАТЕЛИ ПТП '!$A$1:$M$68</definedName>
    <definedName name="Z_F51B41C0_1BD7_44BF_8205_E6650A4106D4_.wvu.FilterData" localSheetId="3" hidden="1">'ПОКАЗАТЕЛИ ПТП '!$A$1:$M$68</definedName>
    <definedName name="Z_F5FEA9DB_91E2_48FB_899C_702683241BF8_.wvu.FilterData" localSheetId="3" hidden="1">'ПОКАЗАТЕЛИ ПТП '!$A$1:$M$68</definedName>
    <definedName name="Z_FBD83DB1_7D23_442D_AAFC_8EB3C39CCE98_.wvu.FilterData" localSheetId="3" hidden="1">'ПОКАЗАТЕЛИ ПТП '!$A$1:$M$68</definedName>
    <definedName name="Z_FE2955C0_88F2_4786_82CB_7C3712BA1FAE_.wvu.FilterData" localSheetId="3" hidden="1">'ПОКАЗАТЕЛИ ПТП '!$A$1:$M$68</definedName>
    <definedName name="Z_FF056BCE_8DD2_46C8_9A5C_CA39174333D6_.wvu.FilterData" localSheetId="3" hidden="1">'ПОКАЗАТЕЛИ ПТП '!$A$1:$M$68</definedName>
  </definedNames>
  <calcPr calcId="162913"/>
  <customWorkbookViews>
    <customWorkbookView name="Даниела Николова - Personal View" guid="{32A281B9-28FB-4D0E-8C01-BFBADAC8C3C9}" mergeInterval="0" personalView="1" maximized="1" xWindow="-8" yWindow="-8" windowWidth="1936" windowHeight="1056" tabRatio="782" activeSheetId="1"/>
    <customWorkbookView name="Полина Личева - Personal View" guid="{77799D3C-38E2-410A-80FA-AECD8E6AB89B}" mergeInterval="0" personalView="1" maximized="1" xWindow="-8" yWindow="-8" windowWidth="1936" windowHeight="1056" tabRatio="782" activeSheetId="4"/>
    <customWorkbookView name="Атанас Атанасов - Personal View" guid="{B426F9F8-EB1A-4D7B-9478-7E22D414CC12}" mergeInterval="0" personalView="1" maximized="1" xWindow="-8" yWindow="-8" windowWidth="1936" windowHeight="1056" tabRatio="782" activeSheetId="4"/>
    <customWorkbookView name="Programming &amp; Contracting Department, OPGG - Personal View" guid="{DD0EA6D3-BC8C-40D3-B12F-B88059C8E3DC}" mergeInterval="0" personalView="1" maximized="1" xWindow="-8" yWindow="-8" windowWidth="1936" windowHeight="1056" tabRatio="782" activeSheetId="4"/>
    <customWorkbookView name="Антон Шопов - Personal View" guid="{72B67681-E295-44ED-80A6-F4B618B242B1}" mergeInterval="0" changesSavedWin="1" personalView="1" includePrintSettings="0" includeHiddenRowCol="0" maximized="1" xWindow="-8" yWindow="-8" windowWidth="1936" windowHeight="1056" tabRatio="782" activeSheetId="4"/>
    <customWorkbookView name="Емилия Герджикова - Personal View" guid="{9CD5F6CE-0E1C-42DA-A598-93523B740CBC}" mergeInterval="0" personalView="1" xWindow="35" yWindow="34" windowWidth="1883" windowHeight="1007" tabRatio="782" activeSheetId="4"/>
    <customWorkbookView name="Даниела Николов - Personal View" guid="{E07B67F4-8A17-4050-B9B8-81977BCB02E2}" mergeInterval="0" personalView="1" maximized="1" xWindow="-8" yWindow="-8" windowWidth="1936" windowHeight="1056" tabRatio="782" activeSheetId="4"/>
    <customWorkbookView name="Managing Authority - Personal View" guid="{2A6315F5-C9A2-43A7-B337-00FD30A3EB26}" mergeInterval="0" personalView="1" maximized="1" xWindow="-8" yWindow="-8" windowWidth="1936" windowHeight="1056" tabRatio="782" activeSheetId="4"/>
    <customWorkbookView name="Цветелина Соракова - Personal View" guid="{AD504361-49F3-4986-BDBF-FB73E2299976}" mergeInterval="0" personalView="1" maximized="1" xWindow="-9" yWindow="-9" windowWidth="1938" windowHeight="1048" tabRatio="782" activeSheetId="2"/>
    <customWorkbookView name="Managing Authority  - Personal View" guid="{D1BD168D-40B4-46AB-88B7-64C22520CFA0}" mergeInterval="0" personalView="1" maximized="1" xWindow="-8" yWindow="-8" windowWidth="1936" windowHeight="1056" tabRatio="782" activeSheetId="2"/>
    <customWorkbookView name="Мария  Христова - Personal View" guid="{56BC42A3-D967-4F27-BD5A-CB0B8CB7F657}" mergeInterval="0" personalView="1" maximized="1" xWindow="-8" yWindow="-8" windowWidth="1936" windowHeight="1056" tabRatio="782" activeSheetId="4"/>
    <customWorkbookView name="Елисавета Марашлиева-Нинова - Personal View" guid="{13EBDE9D-EC74-4522-9EED-363E735B4A78}" mergeInterval="0" personalView="1" maximized="1" xWindow="-8" yWindow="-8" windowWidth="1936" windowHeight="1056" tabRatio="78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1" l="1"/>
  <c r="N7" i="1"/>
  <c r="L77" i="4" l="1"/>
  <c r="K88" i="4"/>
  <c r="L88" i="4"/>
  <c r="L87" i="4"/>
  <c r="K87" i="4"/>
  <c r="L78" i="4"/>
  <c r="K78" i="4"/>
  <c r="K77" i="4"/>
  <c r="L76" i="4"/>
  <c r="K76" i="4"/>
  <c r="L75" i="4"/>
  <c r="K75" i="4"/>
  <c r="K70" i="4"/>
  <c r="L72" i="4"/>
  <c r="K72" i="4"/>
  <c r="L71" i="4"/>
  <c r="K71" i="4"/>
  <c r="L70" i="4"/>
  <c r="AD20" i="5" l="1"/>
  <c r="P20" i="5"/>
  <c r="C54" i="4" s="1"/>
  <c r="D54" i="4"/>
  <c r="C55" i="4" l="1"/>
  <c r="C56" i="4" s="1"/>
  <c r="D55" i="4"/>
  <c r="D56" i="4" s="1"/>
  <c r="P17" i="5" l="1"/>
  <c r="C45" i="4" s="1"/>
  <c r="AD17" i="5"/>
  <c r="D45" i="4" s="1"/>
  <c r="P3" i="5" l="1"/>
  <c r="AD3" i="5"/>
  <c r="P4" i="5"/>
  <c r="AD4" i="5"/>
  <c r="P5" i="5"/>
  <c r="AD5" i="5"/>
  <c r="P6" i="5"/>
  <c r="AD6" i="5"/>
  <c r="P7" i="5"/>
  <c r="AD7" i="5"/>
  <c r="P8" i="5"/>
  <c r="AD8" i="5"/>
  <c r="P9" i="5"/>
  <c r="AD9" i="5"/>
  <c r="P10" i="5"/>
  <c r="AD10" i="5"/>
  <c r="P11" i="5"/>
  <c r="AD11" i="5"/>
  <c r="P12" i="5"/>
  <c r="AD12" i="5"/>
  <c r="C13" i="5"/>
  <c r="D13" i="5"/>
  <c r="G13" i="5"/>
  <c r="H13" i="5"/>
  <c r="Q13" i="5"/>
  <c r="R13" i="5"/>
  <c r="U13" i="5"/>
  <c r="V13" i="5"/>
  <c r="AD13" i="5" s="1"/>
  <c r="C14" i="5"/>
  <c r="D14" i="5"/>
  <c r="E14" i="5"/>
  <c r="F14" i="5"/>
  <c r="H14" i="5"/>
  <c r="I14" i="5"/>
  <c r="Q14" i="5"/>
  <c r="AD14" i="5" s="1"/>
  <c r="R14" i="5"/>
  <c r="S14" i="5"/>
  <c r="T14" i="5"/>
  <c r="U14" i="5"/>
  <c r="V14" i="5"/>
  <c r="W14" i="5"/>
  <c r="P16" i="5"/>
  <c r="C42" i="4" s="1"/>
  <c r="AD16" i="5"/>
  <c r="D42" i="4" s="1"/>
  <c r="P18" i="5"/>
  <c r="AD18" i="5"/>
  <c r="P19" i="5"/>
  <c r="AD19" i="5"/>
  <c r="L21" i="5"/>
  <c r="P21" i="5"/>
  <c r="Z21" i="5"/>
  <c r="AD21" i="5"/>
  <c r="P22" i="5"/>
  <c r="AD22" i="5"/>
  <c r="P23" i="5"/>
  <c r="AD23" i="5"/>
  <c r="P24" i="5"/>
  <c r="AD24" i="5"/>
  <c r="P13" i="5" l="1"/>
  <c r="P14" i="5"/>
  <c r="L89" i="4"/>
  <c r="L90" i="4"/>
  <c r="K90" i="4"/>
  <c r="K89" i="4"/>
  <c r="L79" i="4"/>
  <c r="K79" i="4" l="1"/>
  <c r="C46" i="4"/>
  <c r="C47" i="4" s="1"/>
  <c r="D46" i="4" l="1"/>
  <c r="D47" i="4" s="1"/>
  <c r="I7" i="2" l="1"/>
  <c r="L7" i="2"/>
  <c r="L85" i="4" l="1"/>
  <c r="L86" i="4"/>
  <c r="K86" i="4"/>
  <c r="K85" i="4"/>
  <c r="K83" i="4" l="1"/>
  <c r="K105" i="4" l="1"/>
  <c r="K104" i="4"/>
  <c r="O69" i="4" l="1"/>
  <c r="P69" i="4"/>
  <c r="Q69" i="4"/>
  <c r="R69" i="4"/>
  <c r="S69" i="4"/>
  <c r="N69" i="4"/>
  <c r="K102" i="4" l="1"/>
  <c r="L84" i="4"/>
  <c r="K84" i="4"/>
  <c r="L83" i="4"/>
  <c r="K91" i="4" l="1"/>
  <c r="L91" i="4"/>
  <c r="C39" i="4" l="1"/>
  <c r="D39" i="4" l="1"/>
  <c r="D6" i="4" l="1"/>
  <c r="D7" i="4" s="1"/>
  <c r="D8" i="4" s="1"/>
  <c r="D9" i="4"/>
  <c r="D10" i="4" s="1"/>
  <c r="D11" i="4" s="1"/>
  <c r="D30" i="4"/>
  <c r="D31" i="4" s="1"/>
  <c r="D32" i="4" s="1"/>
  <c r="D43" i="4"/>
  <c r="D44" i="4" s="1"/>
  <c r="D48" i="4"/>
  <c r="D49" i="4" s="1"/>
  <c r="D50" i="4" s="1"/>
  <c r="D51" i="4"/>
  <c r="D52" i="4" s="1"/>
  <c r="D53" i="4" s="1"/>
  <c r="D12" i="4"/>
  <c r="D13" i="4" s="1"/>
  <c r="D14" i="4" s="1"/>
  <c r="D15" i="4"/>
  <c r="D21" i="4"/>
  <c r="D22" i="4" s="1"/>
  <c r="D23" i="4" s="1"/>
  <c r="D60" i="4"/>
  <c r="D61" i="4" s="1"/>
  <c r="D62" i="4" s="1"/>
  <c r="D63" i="4"/>
  <c r="D64" i="4" s="1"/>
  <c r="D65" i="4" s="1"/>
  <c r="D66" i="4"/>
  <c r="D3" i="4"/>
  <c r="D4" i="4" s="1"/>
  <c r="D5" i="4" s="1"/>
  <c r="C6" i="4"/>
  <c r="C7" i="4" s="1"/>
  <c r="C8" i="4" s="1"/>
  <c r="C9" i="4"/>
  <c r="C10" i="4" s="1"/>
  <c r="C11" i="4" s="1"/>
  <c r="C18" i="4"/>
  <c r="C19" i="4" s="1"/>
  <c r="C20" i="4" s="1"/>
  <c r="C30" i="4"/>
  <c r="C31" i="4" s="1"/>
  <c r="C32" i="4" s="1"/>
  <c r="C43" i="4"/>
  <c r="C44" i="4" s="1"/>
  <c r="C48" i="4"/>
  <c r="C49" i="4" s="1"/>
  <c r="C50" i="4" s="1"/>
  <c r="C51" i="4"/>
  <c r="C52" i="4" s="1"/>
  <c r="C53" i="4" s="1"/>
  <c r="C12" i="4"/>
  <c r="C13" i="4" s="1"/>
  <c r="C14" i="4" s="1"/>
  <c r="C15" i="4"/>
  <c r="C21" i="4"/>
  <c r="C22" i="4" s="1"/>
  <c r="C23" i="4" s="1"/>
  <c r="C60" i="4"/>
  <c r="C61" i="4" s="1"/>
  <c r="C62" i="4" s="1"/>
  <c r="C63" i="4"/>
  <c r="C64" i="4" s="1"/>
  <c r="C65" i="4" s="1"/>
  <c r="C66" i="4"/>
  <c r="C3" i="4"/>
  <c r="C4" i="4" s="1"/>
  <c r="C5" i="4" s="1"/>
  <c r="C33" i="4" l="1"/>
  <c r="C34" i="4" s="1"/>
  <c r="C35" i="4" s="1"/>
  <c r="D33" i="4"/>
  <c r="D34" i="4" s="1"/>
  <c r="D35" i="4" s="1"/>
  <c r="D18" i="4" l="1"/>
  <c r="D19" i="4" s="1"/>
  <c r="D20" i="4" s="1"/>
  <c r="J11" i="2" l="1"/>
  <c r="I11" i="2" s="1"/>
  <c r="L8" i="1" l="1"/>
  <c r="O8" i="1" s="1"/>
  <c r="M8" i="1" l="1"/>
  <c r="G11" i="2"/>
  <c r="G10" i="2"/>
  <c r="L6" i="1"/>
  <c r="H11" i="2"/>
  <c r="H10" i="2"/>
  <c r="L7" i="1"/>
  <c r="M7" i="1" l="1"/>
  <c r="O7" i="1"/>
  <c r="G18" i="2"/>
  <c r="H18" i="2"/>
  <c r="I18" i="1"/>
  <c r="K18" i="1"/>
  <c r="J18" i="1"/>
  <c r="I8" i="2" l="1"/>
  <c r="L8" i="2" l="1"/>
  <c r="M8" i="2" s="1"/>
  <c r="D57" i="4" l="1"/>
  <c r="D58" i="4" s="1"/>
  <c r="D59" i="4" s="1"/>
  <c r="L17" i="1" l="1"/>
  <c r="L16" i="1"/>
  <c r="L15" i="1"/>
  <c r="L14" i="1"/>
  <c r="L13" i="1"/>
  <c r="L12" i="1"/>
  <c r="L11" i="1"/>
  <c r="L10" i="1"/>
  <c r="L9" i="1"/>
  <c r="F18" i="1"/>
  <c r="E18" i="1"/>
  <c r="D18" i="1"/>
  <c r="G18" i="1" l="1"/>
  <c r="H18" i="1"/>
  <c r="L18" i="1" l="1"/>
  <c r="D36" i="4" l="1"/>
  <c r="D37" i="4" l="1"/>
  <c r="D38" i="4" s="1"/>
  <c r="C36" i="4"/>
  <c r="C37" i="4" s="1"/>
  <c r="C38" i="4" s="1"/>
  <c r="C57" i="4" l="1"/>
  <c r="C58" i="4" l="1"/>
  <c r="C59" i="4" s="1"/>
  <c r="I16" i="2"/>
  <c r="L16" i="2" s="1"/>
  <c r="I15" i="2"/>
  <c r="L15" i="2" s="1"/>
  <c r="I14" i="2"/>
  <c r="L14" i="2" s="1"/>
  <c r="I13" i="2"/>
  <c r="I12" i="2"/>
  <c r="L12" i="2" s="1"/>
  <c r="F11" i="2"/>
  <c r="J10" i="2"/>
  <c r="I10" i="2" s="1"/>
  <c r="F10" i="2"/>
  <c r="I9" i="2"/>
  <c r="L9" i="2" s="1"/>
  <c r="M7" i="2"/>
  <c r="F18" i="2" l="1"/>
  <c r="L11" i="2"/>
  <c r="M11" i="2" s="1"/>
  <c r="I18" i="2"/>
  <c r="J18" i="2"/>
  <c r="L10" i="2"/>
  <c r="L18" i="2" l="1"/>
  <c r="N18" i="2" s="1"/>
  <c r="M10" i="2"/>
  <c r="M18" i="2" l="1"/>
  <c r="N18" i="6" l="1"/>
  <c r="C49" i="6" l="1"/>
  <c r="I48" i="6" l="1"/>
  <c r="J6" i="6" l="1"/>
  <c r="J5" i="6"/>
  <c r="J7" i="6" s="1"/>
  <c r="H20" i="6" l="1"/>
  <c r="G19" i="6"/>
  <c r="G20" i="6" s="1"/>
  <c r="H32" i="6"/>
  <c r="G34" i="6"/>
  <c r="F34" i="6"/>
  <c r="E18" i="6" l="1"/>
  <c r="E20" i="6" s="1"/>
  <c r="G4" i="6" l="1"/>
  <c r="D36" i="6" l="1"/>
  <c r="D32" i="6" l="1"/>
  <c r="D28" i="6"/>
  <c r="E28" i="6" s="1"/>
  <c r="D24" i="6" l="1"/>
  <c r="D21" i="6"/>
  <c r="D16" i="6"/>
  <c r="D13" i="6" l="1"/>
  <c r="D12" i="6"/>
  <c r="D6" i="6"/>
  <c r="D14" i="6" l="1"/>
  <c r="A22" i="6"/>
  <c r="A19" i="6"/>
  <c r="A17" i="6" l="1"/>
  <c r="A12" i="6" l="1"/>
  <c r="A2" i="6"/>
  <c r="A5" i="6" l="1"/>
  <c r="J6" i="9" l="1"/>
  <c r="J7" i="9"/>
  <c r="L3" i="9"/>
  <c r="L6" i="9"/>
  <c r="L11" i="9" s="1"/>
  <c r="J11" i="9"/>
  <c r="J8" i="8"/>
  <c r="J13" i="8"/>
  <c r="J16" i="7"/>
  <c r="H18" i="8"/>
  <c r="G18" i="8"/>
  <c r="L6" i="7"/>
  <c r="L11" i="7" s="1"/>
  <c r="J6" i="7"/>
  <c r="L3" i="7"/>
  <c r="D3" i="8"/>
  <c r="G33" i="3" l="1"/>
  <c r="G28" i="3"/>
  <c r="M19" i="3"/>
  <c r="F22" i="3"/>
  <c r="G22" i="3" s="1"/>
  <c r="N10" i="3"/>
  <c r="M10" i="3"/>
  <c r="N4" i="3"/>
  <c r="D4" i="3" s="1"/>
  <c r="D7" i="3" s="1"/>
  <c r="K26" i="3" l="1"/>
  <c r="F21" i="3"/>
  <c r="G21" i="3" s="1"/>
  <c r="D5" i="3"/>
  <c r="C5" i="3" s="1"/>
  <c r="C4" i="3"/>
  <c r="F10" i="3"/>
  <c r="G10" i="3" s="1"/>
  <c r="F12" i="3"/>
  <c r="G12" i="3" s="1"/>
  <c r="O4" i="3"/>
  <c r="D6" i="3" s="1"/>
  <c r="C6" i="3" s="1"/>
  <c r="F16" i="3"/>
  <c r="L10" i="3" s="1"/>
  <c r="F14" i="3"/>
  <c r="G14" i="3" s="1"/>
  <c r="F19" i="3"/>
  <c r="G19" i="3" s="1"/>
  <c r="F23" i="3"/>
  <c r="G23" i="3" s="1"/>
  <c r="L3" i="3"/>
  <c r="F7" i="3" s="1"/>
  <c r="F11" i="3"/>
  <c r="G11" i="3" s="1"/>
  <c r="F13" i="3"/>
  <c r="F15" i="3"/>
  <c r="G15" i="3" s="1"/>
  <c r="F20" i="3"/>
  <c r="G20" i="3" s="1"/>
  <c r="B4" i="3" l="1"/>
  <c r="G11" i="9"/>
  <c r="H11" i="9" s="1"/>
  <c r="G6" i="9"/>
  <c r="G5" i="9"/>
  <c r="B6" i="3"/>
  <c r="G14" i="8"/>
  <c r="F25" i="3"/>
  <c r="L19" i="3" s="1"/>
  <c r="L26" i="3" s="1"/>
  <c r="L30" i="3" s="1"/>
  <c r="G16" i="3"/>
  <c r="G5" i="7"/>
  <c r="B5" i="3"/>
  <c r="G11" i="7"/>
  <c r="H11" i="7" s="1"/>
  <c r="G6" i="7"/>
  <c r="M26" i="3"/>
  <c r="G7" i="3"/>
  <c r="E7" i="3"/>
  <c r="G13" i="3"/>
  <c r="F17" i="3"/>
  <c r="G17" i="3" s="1"/>
  <c r="M3" i="3"/>
  <c r="G17" i="9" l="1"/>
  <c r="G20" i="9" s="1"/>
  <c r="I25" i="3"/>
  <c r="I24" i="3" s="1"/>
  <c r="N19" i="3" s="1"/>
  <c r="J3" i="9"/>
  <c r="G4" i="9"/>
  <c r="G3" i="9" s="1"/>
  <c r="H6" i="9" s="1"/>
  <c r="G25" i="3"/>
  <c r="J3" i="8"/>
  <c r="G19" i="8"/>
  <c r="G4" i="7"/>
  <c r="J3" i="7"/>
  <c r="G8" i="8"/>
  <c r="H8" i="8" s="1"/>
  <c r="H3" i="8" s="1"/>
  <c r="B7" i="3"/>
  <c r="N3" i="3"/>
  <c r="O3" i="3"/>
  <c r="F6" i="3" s="1"/>
  <c r="A8" i="6" l="1"/>
  <c r="F24" i="3"/>
  <c r="F26" i="3" s="1"/>
  <c r="J4" i="9"/>
  <c r="G20" i="8"/>
  <c r="H20" i="8" s="1"/>
  <c r="L3" i="8" s="1"/>
  <c r="L8" i="8" s="1"/>
  <c r="G21" i="8"/>
  <c r="G3" i="8"/>
  <c r="F5" i="3"/>
  <c r="F4" i="3"/>
  <c r="G6" i="3"/>
  <c r="E6" i="3"/>
  <c r="N26" i="3" l="1"/>
  <c r="G24" i="3"/>
  <c r="G26" i="3"/>
  <c r="F29" i="3"/>
  <c r="G4" i="3"/>
  <c r="F8" i="3"/>
  <c r="E4" i="3"/>
  <c r="G5" i="3"/>
  <c r="E5" i="3"/>
  <c r="I7" i="3" l="1"/>
  <c r="I6" i="3"/>
  <c r="G8" i="3"/>
  <c r="I4" i="3"/>
  <c r="F30" i="3"/>
  <c r="G30" i="3" s="1"/>
  <c r="G29" i="3"/>
  <c r="I5" i="3"/>
  <c r="E8" i="3"/>
  <c r="G3" i="7" l="1"/>
  <c r="H3" i="7" s="1"/>
  <c r="H6" i="7" s="1"/>
  <c r="J4" i="7"/>
  <c r="J11" i="7"/>
  <c r="L13" i="2"/>
</calcChain>
</file>

<file path=xl/sharedStrings.xml><?xml version="1.0" encoding="utf-8"?>
<sst xmlns="http://schemas.openxmlformats.org/spreadsheetml/2006/main" count="651" uniqueCount="512">
  <si>
    <r>
      <rPr>
        <sz val="11"/>
        <color theme="1"/>
        <rFont val="Times New Roman"/>
        <family val="1"/>
        <charset val="204"/>
      </rPr>
      <t>Програма за техническа помощ 2021-2027 г.</t>
    </r>
  </si>
  <si>
    <r>
      <rPr>
        <b/>
        <sz val="9"/>
        <color rgb="FF000000"/>
        <rFont val="Times New Roman"/>
        <family val="1"/>
        <charset val="204"/>
      </rPr>
      <t>EUR, принос на ЕС</t>
    </r>
  </si>
  <si>
    <r>
      <rPr>
        <b/>
        <sz val="13"/>
        <color rgb="FF000000"/>
        <rFont val="Times New Roman"/>
        <family val="1"/>
        <charset val="204"/>
      </rPr>
      <t>Таблица 10: Финансови бюджетни кредити по година</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</si>
  <si>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</si>
  <si>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</si>
  <si>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Общо</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</si>
  <si>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</si>
  <si>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</si>
  <si>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</si>
  <si>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</si>
  <si>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sz val="10"/>
        <color rgb="FF000000"/>
        <rFont val="Times New Roman"/>
        <family val="1"/>
        <charset val="204"/>
      </rPr>
      <t>ЕФРР</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</si>
  <si>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</si>
  <si>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</si>
  <si>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</si>
  <si>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</si>
  <si>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</si>
  <si>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</si>
  <si>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b/>
        <sz val="11"/>
        <color rgb="FF000000"/>
        <rFont val="Times New Roman"/>
        <family val="1"/>
        <charset val="204"/>
      </rPr>
      <t xml:space="preserve"> - </t>
    </r>
  </si>
  <si>
    <r>
      <rPr>
        <sz val="10"/>
        <color rgb="FF000000"/>
        <rFont val="Times New Roman"/>
        <family val="1"/>
        <charset val="204"/>
      </rPr>
      <t>ЕСФ+</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</si>
  <si>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</si>
  <si>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</si>
  <si>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</si>
  <si>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</si>
  <si>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</si>
  <si>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</si>
  <si>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sz val="10"/>
        <color rgb="FF000000"/>
        <rFont val="Times New Roman"/>
        <family val="1"/>
        <charset val="204"/>
      </rPr>
      <t>Кохезионен фонд</t>
    </r>
  </si>
  <si>
    <r>
      <rPr>
        <sz val="10"/>
        <color rgb="FF000000"/>
        <rFont val="Times New Roman"/>
        <family val="1"/>
        <charset val="204"/>
      </rPr>
      <t>неприложимо</t>
    </r>
  </si>
  <si>
    <r>
      <rPr>
        <sz val="10"/>
        <color rgb="FF000000"/>
        <rFont val="Times New Roman"/>
        <family val="1"/>
        <charset val="204"/>
      </rPr>
      <t>ЕФМДР</t>
    </r>
  </si>
  <si>
    <r>
      <rPr>
        <sz val="10"/>
        <color rgb="FF000000"/>
        <rFont val="Times New Roman"/>
        <family val="1"/>
        <charset val="204"/>
      </rPr>
      <t>неприложимо</t>
    </r>
  </si>
  <si>
    <r>
      <rPr>
        <b/>
        <sz val="10"/>
        <color rgb="FF000000"/>
        <rFont val="Times New Roman"/>
        <family val="1"/>
        <charset val="204"/>
      </rPr>
      <t>Общо</t>
    </r>
  </si>
  <si>
    <r>
      <rPr>
        <b/>
        <sz val="11"/>
        <color rgb="FF000000"/>
        <rFont val="Times New Roman"/>
        <family val="1"/>
        <charset val="204"/>
      </rPr>
      <t xml:space="preserve"> - </t>
    </r>
  </si>
  <si>
    <r>
      <rPr>
        <b/>
        <sz val="11"/>
        <color theme="1"/>
        <rFont val="Times New Roman"/>
        <family val="1"/>
        <charset val="204"/>
      </rPr>
      <t>Таблица 11: 3.2‭ ‬Общо финансови бюджетни кредити по фонд и национално съфинансиране</t>
    </r>
  </si>
  <si>
    <r>
      <rPr>
        <b/>
        <sz val="11"/>
        <color rgb="FF000000"/>
        <rFont val="Times New Roman"/>
        <family val="1"/>
        <charset val="204"/>
      </rPr>
      <t>Цели на политиката Не или ТП</t>
    </r>
  </si>
  <si>
    <r>
      <rPr>
        <b/>
        <sz val="11"/>
        <color rgb="FF000000"/>
        <rFont val="Times New Roman"/>
        <family val="1"/>
        <charset val="204"/>
      </rPr>
      <t>Приоритет</t>
    </r>
  </si>
  <si>
    <r>
      <rPr>
        <b/>
        <sz val="11"/>
        <color rgb="FF000000"/>
        <rFont val="Times New Roman"/>
        <family val="1"/>
        <charset val="204"/>
      </rPr>
      <t>Основа за изчисляване на подпомагането от ЕС‭ (‬общо или публично‭)</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</si>
  <si>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</si>
  <si>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</si>
  <si>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 xml:space="preserve">Принос на ЕС </t>
    </r>
  </si>
  <si>
    <r>
      <rPr>
        <b/>
        <sz val="11"/>
        <color rgb="FF000000"/>
        <rFont val="Times New Roman"/>
        <family val="1"/>
        <charset val="204"/>
      </rPr>
      <t>Национален принос</t>
    </r>
  </si>
  <si>
    <r>
      <rPr>
        <b/>
        <sz val="11"/>
        <color rgb="FF000000"/>
        <rFont val="Times New Roman"/>
        <family val="1"/>
        <charset val="204"/>
      </rPr>
      <t>Ориентировъчно разпределение на националното участие</t>
    </r>
  </si>
  <si>
    <r>
      <rPr>
        <b/>
        <sz val="11"/>
        <color rgb="FF000000"/>
        <rFont val="Times New Roman"/>
        <family val="1"/>
        <charset val="204"/>
      </rPr>
      <t>Общо</t>
    </r>
  </si>
  <si>
    <r>
      <rPr>
        <b/>
        <sz val="11"/>
        <color rgb="FF000000"/>
        <rFont val="Times New Roman"/>
        <family val="1"/>
        <charset val="204"/>
      </rPr>
      <t>Процент на съфинансиране</t>
    </r>
  </si>
  <si>
    <r>
      <rPr>
        <b/>
        <sz val="11"/>
        <color rgb="FF000000"/>
        <rFont val="Times New Roman"/>
        <family val="1"/>
        <charset val="204"/>
      </rPr>
      <t>публично‭</t>
    </r>
  </si>
  <si>
    <r>
      <rPr>
        <b/>
        <sz val="11"/>
        <color rgb="FF000000"/>
        <rFont val="Times New Roman"/>
        <family val="1"/>
        <charset val="204"/>
      </rPr>
      <t>частно‭</t>
    </r>
  </si>
  <si>
    <r>
      <rPr>
        <sz val="11"/>
        <color rgb="FF000000"/>
        <rFont val="Times New Roman"/>
        <family val="1"/>
        <charset val="204"/>
      </rPr>
      <t>(а)</t>
    </r>
  </si>
  <si>
    <r>
      <rPr>
        <sz val="11"/>
        <color rgb="FF000000"/>
        <rFont val="Times New Roman"/>
        <family val="1"/>
        <charset val="204"/>
      </rPr>
      <t>(б‭)=(в‬)+‭(‬г)</t>
    </r>
  </si>
  <si>
    <r>
      <rPr>
        <sz val="11"/>
        <color rgb="FF000000"/>
        <rFont val="Times New Roman"/>
        <family val="1"/>
        <charset val="204"/>
      </rPr>
      <t>(в)</t>
    </r>
  </si>
  <si>
    <r>
      <rPr>
        <sz val="11"/>
        <color rgb="FF000000"/>
        <rFont val="Times New Roman"/>
        <family val="1"/>
        <charset val="204"/>
      </rPr>
      <t>(г)</t>
    </r>
  </si>
  <si>
    <r>
      <rPr>
        <sz val="11"/>
        <color rgb="FF000000"/>
        <rFont val="Times New Roman"/>
        <family val="1"/>
        <charset val="204"/>
      </rPr>
      <t>(д)=(‬a‭)‬+‭(‬б)**</t>
    </r>
  </si>
  <si>
    <r>
      <rPr>
        <sz val="11"/>
        <color rgb="FF000000"/>
        <rFont val="Times New Roman"/>
        <family val="1"/>
        <charset val="204"/>
      </rPr>
      <t>(е‭)=(‬a‭)‬/‭(д)**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</si>
  <si>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</si>
  <si>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</si>
  <si>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</si>
  <si>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</si>
  <si>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Преход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</si>
  <si>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</si>
  <si>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</si>
  <si>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</si>
  <si>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</si>
  <si>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По-слабо развити региони</t>
    </r>
  </si>
  <si>
    <r>
      <rPr>
        <b/>
        <sz val="11"/>
        <color rgb="FF000000"/>
        <rFont val="Times New Roman"/>
        <family val="1"/>
        <charset val="204"/>
      </rPr>
      <t>Общо ЕФРР</t>
    </r>
  </si>
  <si>
    <r>
      <rPr>
        <i/>
        <sz val="11"/>
        <color rgb="FF000000"/>
        <rFont val="Times New Roman"/>
        <family val="1"/>
        <charset val="204"/>
      </rPr>
      <t>По-силно развити региони</t>
    </r>
  </si>
  <si>
    <r>
      <rPr>
        <i/>
        <sz val="11"/>
        <color rgb="FF000000"/>
        <rFont val="Times New Roman"/>
        <family val="1"/>
        <charset val="204"/>
      </rPr>
      <t>Преход</t>
    </r>
  </si>
  <si>
    <r>
      <rPr>
        <i/>
        <sz val="11"/>
        <color rgb="FF000000"/>
        <rFont val="Times New Roman"/>
        <family val="1"/>
        <charset val="204"/>
      </rPr>
      <t>По-слабо развити региони</t>
    </r>
  </si>
  <si>
    <r>
      <rPr>
        <i/>
        <sz val="11"/>
        <color rgb="FF000000"/>
        <rFont val="Times New Roman"/>
        <family val="1"/>
        <charset val="204"/>
      </rPr>
      <t xml:space="preserve">Най-отдалечени </t>
    </r>
  </si>
  <si>
    <r>
      <rPr>
        <b/>
        <sz val="11"/>
        <color rgb="FF000000"/>
        <rFont val="Times New Roman"/>
        <family val="1"/>
        <charset val="204"/>
      </rPr>
      <t>Общо ЕСФ+</t>
    </r>
  </si>
  <si>
    <r>
      <rPr>
        <i/>
        <sz val="8"/>
        <color rgb="FF000000"/>
        <rFont val="Times New Roman"/>
        <family val="1"/>
        <charset val="204"/>
      </rPr>
      <t>По-силно развити региони</t>
    </r>
  </si>
  <si>
    <r>
      <rPr>
        <i/>
        <sz val="8"/>
        <color rgb="FF000000"/>
        <rFont val="Times New Roman"/>
        <family val="1"/>
        <charset val="204"/>
      </rPr>
      <t>Преход</t>
    </r>
  </si>
  <si>
    <r>
      <rPr>
        <i/>
        <sz val="8"/>
        <color rgb="FF000000"/>
        <rFont val="Times New Roman"/>
        <family val="1"/>
        <charset val="204"/>
      </rPr>
      <t>По-слабо развити региони</t>
    </r>
  </si>
  <si>
    <r>
      <rPr>
        <i/>
        <sz val="8"/>
        <color rgb="FF000000"/>
        <rFont val="Times New Roman"/>
        <family val="1"/>
        <charset val="204"/>
      </rPr>
      <t>Специално разпределени средства за най-отдалечените или северни слабо населени региони</t>
    </r>
  </si>
  <si>
    <r>
      <rPr>
        <b/>
        <sz val="11"/>
        <color rgb="FF000000"/>
        <rFont val="Times New Roman"/>
        <family val="1"/>
        <charset val="204"/>
      </rPr>
      <t>Общо КФ</t>
    </r>
  </si>
  <si>
    <r>
      <rPr>
        <sz val="11"/>
        <color rgb="FF000000"/>
        <rFont val="Times New Roman"/>
        <family val="1"/>
        <charset val="204"/>
      </rPr>
      <t>неприложимо</t>
    </r>
  </si>
  <si>
    <r>
      <rPr>
        <b/>
        <sz val="11"/>
        <color rgb="FF000000"/>
        <rFont val="Times New Roman"/>
        <family val="1"/>
        <charset val="204"/>
      </rPr>
      <t>Общо</t>
    </r>
  </si>
  <si>
    <r>
      <rPr>
        <b/>
        <sz val="11"/>
        <color theme="1"/>
        <rFont val="Times New Roman"/>
        <family val="1"/>
        <charset val="204"/>
      </rPr>
      <t>Идентификационен номер</t>
    </r>
  </si>
  <si>
    <r>
      <rPr>
        <b/>
        <sz val="11"/>
        <color theme="1"/>
        <rFont val="Times New Roman"/>
        <family val="1"/>
        <charset val="204"/>
      </rPr>
      <t>Бенефициенти и заинтересовани страни, допринасящи за постигането на показатели:
Показатели:</t>
    </r>
  </si>
  <si>
    <r>
      <rPr>
        <b/>
        <sz val="11"/>
        <color theme="1"/>
        <rFont val="Times New Roman"/>
        <family val="1"/>
        <charset val="204"/>
      </rPr>
      <t>Етапна цел (2024)</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</si>
  <si>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</si>
  <si>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</si>
  <si>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</si>
  <si>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</si>
  <si>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</si>
  <si>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 xml:space="preserve">НРПД </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</si>
  <si>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</si>
  <si>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</si>
  <si>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</si>
  <si>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</si>
  <si>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</si>
  <si>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</si>
  <si>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</si>
  <si>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</si>
  <si>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</si>
  <si>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АФКОС</t>
    </r>
  </si>
  <si>
    <r>
      <rPr>
        <sz val="9"/>
        <rFont val="Times New Roman"/>
        <family val="1"/>
        <charset val="204"/>
      </rPr>
      <t>АОП</t>
    </r>
  </si>
  <si>
    <r>
      <rPr>
        <sz val="9"/>
        <rFont val="Times New Roman"/>
        <family val="1"/>
        <charset val="204"/>
      </rPr>
      <t>НРПД</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</si>
  <si>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</si>
  <si>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</si>
  <si>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</si>
  <si>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</si>
  <si>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</si>
  <si>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11.5"/>
        <color theme="1"/>
        <rFont val="Times New Roman"/>
        <family val="1"/>
        <charset val="204"/>
      </rPr>
      <t xml:space="preserve">(О1-1) </t>
    </r>
  </si>
  <si>
    <r>
      <rPr>
        <sz val="11.5"/>
        <color theme="1"/>
        <rFont val="Times New Roman"/>
        <family val="1"/>
        <charset val="204"/>
      </rPr>
      <t>Проверки и одити, извършвани от одитиращи и/или контролни органи</t>
    </r>
  </si>
  <si>
    <r>
      <rPr>
        <sz val="11.5"/>
        <color theme="1"/>
        <rFont val="Times New Roman"/>
        <family val="1"/>
        <charset val="204"/>
      </rPr>
      <t>Нови функционалности на ИСУН</t>
    </r>
  </si>
  <si>
    <r>
      <rPr>
        <sz val="11.5"/>
        <color theme="1"/>
        <rFont val="Times New Roman"/>
        <family val="1"/>
        <charset val="204"/>
      </rPr>
      <t>Намалена административна тежест за кандидатите</t>
    </r>
  </si>
  <si>
    <r>
      <rPr>
        <sz val="11.5"/>
        <color theme="1"/>
        <rFont val="Times New Roman"/>
        <family val="1"/>
        <charset val="204"/>
      </rPr>
      <t>Уникални посещения на eufunds.bg годишно</t>
    </r>
  </si>
  <si>
    <r>
      <rPr>
        <sz val="11.5"/>
        <color theme="1"/>
        <rFont val="Times New Roman"/>
        <family val="1"/>
        <charset val="204"/>
      </rPr>
      <t>Импресии в социалните мрежи и платформи</t>
    </r>
  </si>
  <si>
    <r>
      <rPr>
        <sz val="11.5"/>
        <color theme="1"/>
        <rFont val="Times New Roman"/>
        <family val="1"/>
        <charset val="204"/>
      </rPr>
      <t xml:space="preserve">Ниво на информираност за европейските фондове сред широката общественост
</t>
    </r>
  </si>
  <si>
    <t>КОНЦЕПЦИЯ ЗА  ПРОГРАМА "НАУКА И ОБРАЗОВАНИЕ" 2021-2027 Г.</t>
  </si>
  <si>
    <t>Разпределение на финансовия ресурс по ПО 1</t>
  </si>
  <si>
    <t>Група дейности</t>
  </si>
  <si>
    <t>ФИ ЕС</t>
  </si>
  <si>
    <t>БФП+ФИ ЕС</t>
  </si>
  <si>
    <t>БФП+ФИ</t>
  </si>
  <si>
    <t>Бюджет в евро ЕС</t>
  </si>
  <si>
    <t>Бюджет в евро</t>
  </si>
  <si>
    <t>Бюджет в лева</t>
  </si>
  <si>
    <t>Начин на изпълнение</t>
  </si>
  <si>
    <t>% Разпределение от ПО1</t>
  </si>
  <si>
    <t>% за Хоризонт</t>
  </si>
  <si>
    <t>бюджет ПO 1 общо</t>
  </si>
  <si>
    <t>финасови инструменти (20%)</t>
  </si>
  <si>
    <t>БФП остатък бюджет ПO 1</t>
  </si>
  <si>
    <t>бюджет инфраструктура и оборудване (70%)</t>
  </si>
  <si>
    <t>бюджет научни изследвания (30%)</t>
  </si>
  <si>
    <t>ПО 1 Научна инфраструктура и изследвания (ЕФРР)</t>
  </si>
  <si>
    <t>Хоризонт Европа - инфраструктура и seal of excellence - инфраструктура, оборудване и изследвания</t>
  </si>
  <si>
    <t>Директно предоставяне</t>
  </si>
  <si>
    <t>Центрове за върхови постижения и Центрове за компетентност - инфраструктура, оборудване и научни изследвания (Директно предоставяне)</t>
  </si>
  <si>
    <t>Директно предоставяне</t>
  </si>
  <si>
    <t xml:space="preserve">Научни изследвания </t>
  </si>
  <si>
    <t>Конкретен бенефициент или Междинно звено за подбор на проекти/ АНИ (Агенция за наука и иновации )</t>
  </si>
  <si>
    <t>Финансови иснтрументи - заеми, гаранции, рисков капитал</t>
  </si>
  <si>
    <t>Фонд на фондовете/фонд за технологичен трансфер</t>
  </si>
  <si>
    <t>Общо за приоритетната ос</t>
  </si>
  <si>
    <t>ПО 2 Модернизация и качество на образованието (ЕСФ+)</t>
  </si>
  <si>
    <t>% Разпределение от ПО2</t>
  </si>
  <si>
    <t>бюджет ПО 2 общо</t>
  </si>
  <si>
    <t xml:space="preserve">Териториален иснтрумент </t>
  </si>
  <si>
    <t>Директно предоставяне</t>
  </si>
  <si>
    <t>Конкурентен подбор</t>
  </si>
  <si>
    <t>Качество в училищното образованието+ квалификация на педаг. спец. (промяна на уч. програми и методи на преподаване, нови умения на учениците и пед. Специалисти, мобилност)</t>
  </si>
  <si>
    <t>Директно предоставяне на МОН</t>
  </si>
  <si>
    <t>Модернизация на образованието/ ИКТ+ квалификация на педаг. спец. (иновации, дигитални ресурси, интерактивно съдържание, дигитална креативност, нови умения на учениците и пед. Специалисти, граждански ценности)</t>
  </si>
  <si>
    <t>Директно предоставяне на МОН</t>
  </si>
  <si>
    <t>Допълняемост с централно управлявани инструменти - Еразъм +, Хоризонт Европа, Мария Кюри</t>
  </si>
  <si>
    <t>Директно предоставяне на МОН</t>
  </si>
  <si>
    <t>Валидиране на знания и умения, професионални центрове за върхови постижения, учебно тренировъчни фирми, ученически практики</t>
  </si>
  <si>
    <t>Процедура на подбор с браншови организации</t>
  </si>
  <si>
    <t>Студентски практики (връзка с пазара на труда)</t>
  </si>
  <si>
    <t>Процедура на подбор висши училища</t>
  </si>
  <si>
    <t>Висше образование (дигитализация, подобряване качеството на управление и преподаване, учебни програми, връзка с пазара на труда, участие в международни мрежи, мобилност)</t>
  </si>
  <si>
    <t>Процедура на подбор висши училища</t>
  </si>
  <si>
    <r>
      <rPr>
        <b/>
        <sz val="12"/>
        <color theme="1"/>
        <rFont val="Candara"/>
        <family val="2"/>
        <charset val="204"/>
      </rPr>
      <t>Интегрирани териториални инвестиции (ИТИ)</t>
    </r>
    <r>
      <rPr>
        <sz val="12"/>
        <color theme="1"/>
        <rFont val="Candara"/>
        <family val="2"/>
        <charset val="204"/>
      </rPr>
      <t xml:space="preserve"> Професионално образование и обучение +квалификация на педаг. спец. (връзка с пазара на труда, ЦПО, дуална система на обучение, ученически практики)</t>
    </r>
  </si>
  <si>
    <t>Процедура на подбор</t>
  </si>
  <si>
    <t>Общо за приоритетната ос</t>
  </si>
  <si>
    <t xml:space="preserve">ПО 3 Приобщаващо образование (ЕСФ+)
</t>
  </si>
  <si>
    <t>% Разпределение от ПО2</t>
  </si>
  <si>
    <t>бюджет ПО 2 общо</t>
  </si>
  <si>
    <t xml:space="preserve">Териториален иснтрумент </t>
  </si>
  <si>
    <t>Директно предоставяне</t>
  </si>
  <si>
    <t>Конкурентен подбор</t>
  </si>
  <si>
    <t xml:space="preserve">Намаляване на преждевременно напусналите училище (обща подкрепа за личностно развитие, десегрегация,  ученици с пропуски в усвояването на уч. материал, ученици в риск от отпадане от обр. система) </t>
  </si>
  <si>
    <t>Директно предоставяне на МОН</t>
  </si>
  <si>
    <t>Активно приобщаване в предучилищно образование (обхват на децата, разработване на специализирани методики, педагогическа, психологическа и социална подкрепа на деца от уязвими социално слаби групи, промяна на уч. програми и методи на преподаване)</t>
  </si>
  <si>
    <t>Директно предоставяне на МОН</t>
  </si>
  <si>
    <t>Включващо обучение (подпомагане на младежи с увреждания и от уязвими социално слаби групи за кандидатстване във висши училища, алтернативни модели за работа с ученици с девиантно поведение, развитие на подкрепяща среда за деца и ученици със СОП)</t>
  </si>
  <si>
    <t>Директно предоставяне на МОН</t>
  </si>
  <si>
    <t>Талантливи деца и ученици с изявени дарби</t>
  </si>
  <si>
    <t>Директно предоставяне на МОН</t>
  </si>
  <si>
    <t xml:space="preserve">Ограмотяване на възрастни </t>
  </si>
  <si>
    <t>Процедура на подбор</t>
  </si>
  <si>
    <t>Проходимост на уязвими групи в отделните образователни етапи и достъп до висше образование.</t>
  </si>
  <si>
    <t>Процедура на подбор</t>
  </si>
  <si>
    <r>
      <rPr>
        <b/>
        <sz val="12"/>
        <color theme="1"/>
        <rFont val="Candara"/>
        <family val="2"/>
        <charset val="204"/>
      </rPr>
      <t>ВОМР -</t>
    </r>
    <r>
      <rPr>
        <sz val="12"/>
        <color theme="1"/>
        <rFont val="Candara"/>
        <family val="2"/>
        <charset val="204"/>
      </rPr>
      <t xml:space="preserve"> Работа с родители от уязвими групи (работа с родителите на децата в риск от ранно отпадане чрез включване на представители на неправителствени организации, образователни медиатори, социални работници, ромски авторитети и лидери, насърчаване на сътрудничеството с педагогическите специалисти)</t>
    </r>
  </si>
  <si>
    <t>Процедура на подбор</t>
  </si>
  <si>
    <t>бюджет ЕСФ общо</t>
  </si>
  <si>
    <t xml:space="preserve">Териториален иснтрумент </t>
  </si>
  <si>
    <t>Директно предоставяне</t>
  </si>
  <si>
    <t>Конкурентен подбор</t>
  </si>
  <si>
    <t>Общо за приоритетната ос</t>
  </si>
  <si>
    <t xml:space="preserve">ПО4 Техническа помощ (ЕСФ+)
</t>
  </si>
  <si>
    <t>Общо за приоритетната ос</t>
  </si>
  <si>
    <t>Общо за ЕСФ</t>
  </si>
  <si>
    <t>бюджет ОПНО общо</t>
  </si>
  <si>
    <t xml:space="preserve">Териториален иснтрумент </t>
  </si>
  <si>
    <t>Общо за оперативната програма</t>
  </si>
  <si>
    <t>общ брой деца</t>
  </si>
  <si>
    <t>общо учащи</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</si>
  <si>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</si>
  <si>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</si>
  <si>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</si>
  <si>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</si>
  <si>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</si>
  <si>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</si>
  <si>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</si>
  <si>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</si>
  <si>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</si>
  <si>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</si>
  <si>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</si>
  <si>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</si>
  <si>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Повишаване на конкурентоспособността и ефикасността на системата за научни изследвания, като се постави акцент върху постиганите резултати и се създадат стимули за привличане на квалифицирани научни изследователи (напр. подобряване на условията на труд, международно сътрудничество и мобилност, сътрудничество с бизнеса);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</si>
  <si>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</si>
  <si>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r>
      <rPr>
        <b/>
        <sz val="9"/>
        <color theme="1"/>
        <rFont val="Times New Roman"/>
        <family val="1"/>
        <charset val="204"/>
      </rPr>
      <t>Приоритет 3: Научна инфраструктура и приложни изследвания</t>
    </r>
    <r>
      <rPr>
        <sz val="9"/>
        <color theme="1"/>
        <rFont val="Times New Roman"/>
        <family val="1"/>
        <charset val="204"/>
      </rPr>
      <t xml:space="preserve">
Цел: Подобряване на капацитета за научни изследвания, насочени към резултати, чрез модернизация на научната инфраструктура, подобряване на условията на труд и мобилност на учените. 
</t>
    </r>
  </si>
  <si>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</si>
  <si>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ИТ свързаност и съпътстващата инфраструктура в стратегически определени научни центрове за върхови постижения и центрове за компетентност</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</si>
  <si>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</si>
  <si>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</si>
  <si>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</si>
  <si>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</si>
  <si>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</si>
  <si>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стратегически определени научни центрове за върхови постижения и центрове за компетентност</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</si>
  <si>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</si>
  <si>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</si>
  <si>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</si>
  <si>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на  в стратегически определени научни центрове за върхови постижения и центрове за компетентност, чрез:</t>
  </si>
  <si>
    <t>RCO 07 Научноизследователски институции участващи в съвместни проекти за научни изследвания;</t>
  </si>
  <si>
    <t xml:space="preserve">Изграждане на мрежи и съвместна научно-изследователска дейност с водещи европейски научни организации и университети, подкрепа за присъединяване към пан-европейски научно-изследователски инфраструктури </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</si>
  <si>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</si>
  <si>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</si>
  <si>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в стратегически определени научни центрове за върхови постижения и центрове за компетентност,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</si>
  <si>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</si>
  <si>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</si>
  <si>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</si>
  <si>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</si>
  <si>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установяването, придобиването, защитаването и използване, управление  и прехвърляне на права по интелектуална собственостна п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</si>
  <si>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</si>
  <si>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</si>
  <si>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5. Подкрепа за високотехнологични стартиращи предприятия на подкрепените   стратегически определени научни центрове за върхови постижения и центрове за компетентност</t>
  </si>
  <si>
    <t>RCO 05 - Стартиращи предприятия</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</si>
  <si>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</si>
  <si>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</si>
  <si>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</si>
  <si>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</si>
  <si>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</si>
  <si>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</si>
  <si>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</si>
  <si>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</si>
  <si>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</si>
  <si>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</si>
  <si>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</si>
  <si>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</si>
  <si>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основните целеви групи;</t>
  </si>
  <si>
    <t>развиване на уменията в университетите и научноизследователските институции с цел увеличаване на търговската жизнеспособност и пазарното значение на научноизследователските им проекти и на способността за участие в научноизследователски консорциуми;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</si>
  <si>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</si>
  <si>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</si>
  <si>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</si>
  <si>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</si>
  <si>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</si>
  <si>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</si>
  <si>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Изследователи в научни организации, преподаватели в университети, докторанти, постдокторанти, млади учени, студенти, представители на бизнеса.</t>
  </si>
  <si>
    <t>3. Интернационализация,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</si>
  <si>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</si>
  <si>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</si>
  <si>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</si>
  <si>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</si>
  <si>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</si>
  <si>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</si>
  <si>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</si>
  <si>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</si>
  <si>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</si>
  <si>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</si>
  <si>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</si>
  <si>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</si>
  <si>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 xml:space="preserve">5. Подкрепа за високотехнологични стартиращи предприятия </t>
  </si>
  <si>
    <t>RCO 05 - Стартиращи предприятия</t>
  </si>
  <si>
    <t>общо 009+021</t>
  </si>
  <si>
    <t>ЦК+ЦВП</t>
  </si>
  <si>
    <t>1.2 Изследвания</t>
  </si>
  <si>
    <t xml:space="preserve">Индикативен брой проекти </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</si>
  <si>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</si>
  <si>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</si>
  <si>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</si>
  <si>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</si>
  <si>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</si>
  <si>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показателите за крайния продукт исъс съответните междинни цели и целеви стойности;</t>
  </si>
  <si>
    <t>показателите за резултата със съответните междинни цели и целеви стойности;</t>
  </si>
  <si>
    <t>Кодове на интервенции</t>
  </si>
  <si>
    <t xml:space="preserve">План за финансиране (в евро, европейско финансиране)  </t>
  </si>
  <si>
    <t>видове интервенции и примерна разбивка на програмираните средства в зависимост от вида интервенция или област на подпомагане;</t>
  </si>
  <si>
    <t>планирано използване на техническа помощ в съответствие с членове 30—32 и съответните видове интервенции;</t>
  </si>
  <si>
    <t>планирано използване на финансови инструменти;</t>
  </si>
  <si>
    <t>основните целеви групи;</t>
  </si>
  <si>
    <r>
      <t xml:space="preserve">специфични целеви територии, </t>
    </r>
    <r>
      <rPr>
        <b/>
        <sz val="9"/>
        <color rgb="FF000000"/>
        <rFont val="Times New Roman"/>
        <family val="1"/>
        <charset val="204"/>
      </rPr>
      <t xml:space="preserve">включително </t>
    </r>
    <r>
      <rPr>
        <b/>
        <sz val="9"/>
        <color theme="1"/>
        <rFont val="Times New Roman"/>
        <family val="1"/>
        <charset val="204"/>
      </rPr>
      <t xml:space="preserve">планирано </t>
    </r>
    <r>
      <rPr>
        <b/>
        <sz val="9"/>
        <color rgb="FF000000"/>
        <rFont val="Times New Roman"/>
        <family val="1"/>
        <charset val="204"/>
      </rPr>
      <t>използване на интегрирани териториални инвестиции, водено от общностите местно развитие или други териториални инструменти;</t>
    </r>
  </si>
  <si>
    <r>
      <t>междурегионални и транснационални действия, при които бенефициерите се намират поне в още една друга държава членка</t>
    </r>
    <r>
      <rPr>
        <b/>
        <sz val="9"/>
        <color rgb="FF000000"/>
        <rFont val="Times New Roman"/>
        <family val="1"/>
        <charset val="204"/>
      </rPr>
      <t>;</t>
    </r>
  </si>
  <si>
    <t>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</si>
  <si>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</si>
  <si>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</si>
  <si>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</si>
  <si>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съпътстващата инфраструктура в одобрени проекти по направление "Sharing Excellence" на Хоризонт Европа.</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</si>
  <si>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</si>
  <si>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</si>
  <si>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</si>
  <si>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Изследователи в научни организации, преподаватели в университети, докторанти, постдокторанти, млади учени, студенти, представители на бизнеса.</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</si>
  <si>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</si>
  <si>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</si>
  <si>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проекти по стълб II на Хоризонт Европа, получили печат за високи постижения</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</si>
  <si>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</si>
  <si>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</si>
  <si>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</si>
  <si>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за проекти по стълб II на Хоризонт Европа, получили печат за високи постижения,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</si>
  <si>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</si>
  <si>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</si>
  <si>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</si>
  <si>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</si>
  <si>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за проекти по стълб II на Хоризонт Европа, получили печат за високи постижения,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</si>
  <si>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</si>
  <si>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</si>
  <si>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</si>
  <si>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отворен достъп</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</si>
  <si>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Оценка на пазарния потенциал на научните разработки;</t>
  </si>
  <si>
    <t xml:space="preserve">• участие в научни форуми, </t>
  </si>
  <si>
    <t>• организиране на международни научни форуми;</t>
  </si>
  <si>
    <t>Общо 009+021</t>
  </si>
  <si>
    <t>Индикативен брой инфр. Проекти sharing excellence</t>
  </si>
  <si>
    <t>Идикат брой проекти стълб 2</t>
  </si>
  <si>
    <t>По-слабо развити региони</t>
  </si>
  <si>
    <t>ДП</t>
  </si>
  <si>
    <t>Преход</t>
  </si>
  <si>
    <t>Принос на ЕС без стойност за гъвкавост</t>
  </si>
  <si>
    <t>Ориентировъчно разпределение на‭ ‬приноса на ЕС</t>
  </si>
  <si>
    <t>Стойност за гъвкавост</t>
  </si>
  <si>
    <t>За програмите по цел „Инвестиции за работни места и растеж“ обаче за всяка програма във всяка държава членка се запазва сума, съответстваща на 50 % от участието за 2026 г. и 2027 г. („сума за гъвкавост“),само след приемането на решението на Комисията след междинния преглед по член 18.</t>
  </si>
  <si>
    <t>%</t>
  </si>
  <si>
    <t>стойност за гъвкавост</t>
  </si>
  <si>
    <t>2. Укрепване на капацитета на органите, бенефициентите и партньорите</t>
  </si>
  <si>
    <t>(О1-1) Аналитични доклади и стратегически документи</t>
  </si>
  <si>
    <t>Цел (2029)</t>
  </si>
  <si>
    <t>брой</t>
  </si>
  <si>
    <t>Мерна единица</t>
  </si>
  <si>
    <t>Етапна цел (2024)</t>
  </si>
  <si>
    <t xml:space="preserve">(О1-2) </t>
  </si>
  <si>
    <t>Аналитични доклади и стратегически документи</t>
  </si>
  <si>
    <t xml:space="preserve">(О1-2) Хоризонтални и междусекторни оценки </t>
  </si>
  <si>
    <t>(О1-3)</t>
  </si>
  <si>
    <t>(О1-4)</t>
  </si>
  <si>
    <t>Общини</t>
  </si>
  <si>
    <t>ИПА</t>
  </si>
  <si>
    <t xml:space="preserve">2. Укрепване на капацитета на органите, бенефициентите и партньорите
</t>
  </si>
  <si>
    <t>Намалена административна тежест за бенефициентите</t>
  </si>
  <si>
    <t xml:space="preserve">Специфична цел </t>
  </si>
  <si>
    <t>Показатели за краен  продукт</t>
  </si>
  <si>
    <t xml:space="preserve">Определение </t>
  </si>
  <si>
    <t>Методология (метод на изчисляване)</t>
  </si>
  <si>
    <t>Индикативен списък с действия</t>
  </si>
  <si>
    <t>Очаквани постижения/резултати</t>
  </si>
  <si>
    <t>Стойности на кодове за интервенция (финансиране от ЕС) (EUR)</t>
  </si>
  <si>
    <t>Общо (европейско + национално съфинансиране) (BGN)</t>
  </si>
  <si>
    <t>% ЕФРР</t>
  </si>
  <si>
    <t>1. Оптимизиране на средата за изпълнение на СП</t>
  </si>
  <si>
    <t>% от общата стойност на възнагражденията на служителите на ЦКЗ</t>
  </si>
  <si>
    <t>% от общата стойност на възнагражденията на служителите на ОО</t>
  </si>
  <si>
    <t>% от общата стойност на възнагражденията на служителите на СчО</t>
  </si>
  <si>
    <t>% от общата стойност на възнагражденията на служителите на АФКОС</t>
  </si>
  <si>
    <t>% от общата стойност на възнагражденията на служителите на АОП</t>
  </si>
  <si>
    <t xml:space="preserve">(О1-3) Методически указания и проекти на нормативни актове </t>
  </si>
  <si>
    <t>% от общата стойност на възнагражденията на служителите на УО на ПТП</t>
  </si>
  <si>
    <t>179 - Преход</t>
  </si>
  <si>
    <t>179 - По-слабо развити</t>
  </si>
  <si>
    <t>180 - Преход</t>
  </si>
  <si>
    <t>180 - По-слабо развити</t>
  </si>
  <si>
    <t>181 - Преход</t>
  </si>
  <si>
    <t>181 - По-слабо развити</t>
  </si>
  <si>
    <t>182 - Преход</t>
  </si>
  <si>
    <t>182 - По-слабо развити</t>
  </si>
  <si>
    <t>Единна информационна система за държавни помощи</t>
  </si>
  <si>
    <t>3. Ангажиране на СИП и ОГО за добро управление на фондовете</t>
  </si>
  <si>
    <t xml:space="preserve">Хоризонтални и междусекторни оценки </t>
  </si>
  <si>
    <t xml:space="preserve">Методически указания и проекти на нормативни актове </t>
  </si>
  <si>
    <t xml:space="preserve">Брой обучени </t>
  </si>
  <si>
    <t xml:space="preserve">Модули за обучения по хоризонтални теми </t>
  </si>
  <si>
    <t xml:space="preserve">Дял на обучените, преминали успешно тест за усвоени знания </t>
  </si>
  <si>
    <t xml:space="preserve">ОГО и СИП, ангажирани с мониторинг и оценка на СП </t>
  </si>
  <si>
    <t>ОГО и СИП, ангажирани с популяризиране на  резултатите от СП</t>
  </si>
  <si>
    <t xml:space="preserve">Дял процедури за възлагане на обществени поръчки, при които са спазени препоръките на АОП </t>
  </si>
  <si>
    <t>4. Прозрачност, ефективна комуникация и популяризиране на подкрепата от фондовете и постигнатите резултати</t>
  </si>
  <si>
    <t xml:space="preserve">(О2-1) Модули за обучения по хоризонтални теми </t>
  </si>
  <si>
    <t xml:space="preserve">(О2-3) Дял на обучените, преминали успешно тест за усвоени знания </t>
  </si>
  <si>
    <t>(О3-1) ОГО и СИП, ангажирани с мониторинг и оценка на СП</t>
  </si>
  <si>
    <t>(О1-5)</t>
  </si>
  <si>
    <t xml:space="preserve">(О1-7) </t>
  </si>
  <si>
    <t xml:space="preserve">(O1-9) </t>
  </si>
  <si>
    <t>(О2-1)</t>
  </si>
  <si>
    <t>(О2-2)</t>
  </si>
  <si>
    <t>(О2-3)</t>
  </si>
  <si>
    <t>(О2-4)</t>
  </si>
  <si>
    <t>(О3-1)</t>
  </si>
  <si>
    <t xml:space="preserve">(О4-3)  </t>
  </si>
  <si>
    <t>Брой извършени проверки и одити в Системата, завършени с окончателен доклад, изготвен от одитен и/или контролен орган в рамките на правомощията им.</t>
  </si>
  <si>
    <t xml:space="preserve">1. Проверки и/или одити, извършени от Одитиращ орган, Счетоводен орган, АФКОС, АОП.
</t>
  </si>
  <si>
    <t>(О3-2) ОГО и СИП, ангажирани с популяризиране на  резултатите от СП</t>
  </si>
  <si>
    <t>(О4-3) Импресии в социалните мрежи и платформи</t>
  </si>
  <si>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</si>
  <si>
    <t>Подобрена електронна среда за подготовка, изпълнение, мониторинг, контрол, управление на програми от СП;
Подобрена електронна среда за събиране, обработка и анализ на данни за оценки, необходими за целите на оценките на  програми от СП;
Бързо адаптиране на ИСУН към нуждите на потребителите на системата;
Намалена административна тежест за УО-и, кандидати и бенефициенти.</t>
  </si>
  <si>
    <t xml:space="preserve">Подобрена електронна среда за кандидатстване и оценка на проектни предложения по програми от СП;
Бързо адаптиране на ИСУН към нуждите на потребителите на системата;
Намалена административна тежест за УО-и и кандидатите.
</t>
  </si>
  <si>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след 2027 г.).</t>
  </si>
  <si>
    <t>Осигурен компетентен, силно мотивиран, ангажиран и опитен персонал и експертиза за Системата;
Ниско текучество на персонала.</t>
  </si>
  <si>
    <t xml:space="preserve">Индикаторът измерва степента на придобитите знания само от обученията по хоризонтали теми, отчетени в индикатор О2-1.
Под успешно преминаване на тест за усвоени знания се разбира постигане на поне 75% верни отговори на финалния тест.
</t>
  </si>
  <si>
    <t>1. обучения по хоризонтални теми, за които е отчетено разработване на обучителен модул в индикатор О2-1. 
- Разработване на тест за % на усвоените знания;
- Обобщаване на резултатите от проведените тестове;  
- Текущо изпращане на обратна връзка до институцията, разработила съответния обучителен модул.</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</si>
  <si>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Повишено качеството на обучението;
Повишена мотивацията на участниците в събитията. 
                                                                                                        </t>
  </si>
  <si>
    <t>181- Преход</t>
  </si>
  <si>
    <t xml:space="preserve">Повишено обществено доверие в Системата; 
Алтернативна гледна точка към изпълнението на програмите от СП;
Подобрен и ускорен процес по оценки на програми от СП;
Подобрено изпълнение на политики, съ-финансирани от фондовете на РОР чрез по-ефективен и навременен мониторинг. </t>
  </si>
  <si>
    <t xml:space="preserve">Брой ОГО и СИП (бенефициент или партньор), подкрепени за провеждане на информационни събития с цел популяризиране на резултатите от програмите от СП.
Отчитат се ОГО и СИП, провели събития в присъствена или дистанционна форма.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</si>
  <si>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По-висока степен прозрачност и отчетност при изпълнението на СП.</t>
  </si>
  <si>
    <t xml:space="preserve">Брой импресии, отчетени от статистиката в съответните профили на управлявани от бенефициентите на ПТП (ЦКЗ, ОИЦ и др.) социални платформи.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</si>
  <si>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По-силно чувство за собственост върху резултатите от страна на гражданите;
По-висока степен прозрачност и отчетност при изпълнението на СП.</t>
  </si>
  <si>
    <t>Самооценката на анкетираните български граждани на възраст над 15 години се отчита чрез национално представително социологическо проучване, проведено през 2024 и 2029 г.
Изследването се провежда най-малко два пъти по време на програмния период, следвайки единна методология, която позволява сравнимост на данните.
Въз основа на исторически данни от програмния период 2014-2020 г. е направено предположение за поддържане на нивото на информираност, което е високо в сравнение с останалите държави-членки на ЕС.</t>
  </si>
  <si>
    <t xml:space="preserve">1. Организиране на информационни събития, подготовка и разпространение на информационни материали, поддържане на Единния информационен портал www.eufunds.bg и Информационната система за управление и наблюдение (ИСУН), профили в социалните мрежи и всички действия за повишаване на осведомеността за фондовете на РОР сред широката общественост.
</t>
  </si>
  <si>
    <t xml:space="preserve">1. 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</si>
  <si>
    <t>По-слабо развити</t>
  </si>
  <si>
    <t>(О1-4) Проверки и одити, извършвани от одитиращи и/или контролни органи</t>
  </si>
  <si>
    <t xml:space="preserve">(О1-5) Дял на процедурите за избор на изпълнител по реда на ЗОП, при които са спазени препоръките на АОП </t>
  </si>
  <si>
    <t>(О1-6) Единна информационна система за държавни помощи</t>
  </si>
  <si>
    <t>(О1-7) Нови функционалности на ИСУН</t>
  </si>
  <si>
    <t>(О1-8) Намалена административна тежест за кандидатите</t>
  </si>
  <si>
    <t>(О1-9) Намалена административна тежест за бенефициентите</t>
  </si>
  <si>
    <t xml:space="preserve">(О1-6) </t>
  </si>
  <si>
    <t xml:space="preserve">(O1-8) </t>
  </si>
  <si>
    <t xml:space="preserve">(О1-10) </t>
  </si>
  <si>
    <t>(О4-2‭) ‬Уникални посещения на eufunds.bg</t>
  </si>
  <si>
    <t>Брой уникални посещения на eufunds.bg на годишна база, без натрупване.</t>
  </si>
  <si>
    <t>Бенефициентът, поддържащ информационния портал, предоставя на УО на шестмесечна база, към 30 юни и 31 декември, информация за броя уникални посещения на eufunds.bg през съответната година без да се натрупват стойностите от предходните години.
Целевата стойност се отнася за броя уникални посещения на eufunds.bg през 2029 г., който ще се отчете към 31 декември 2029.
Въз основа на исторически данни от програмния период 2014-2020 г. е направено предположение за поддържане на интереса към Информационния портал и поддържане на броя на уникалните посещения на годишна база за периода 2022-2029 г., тъй като има повишен интерес в началото на програмния период, който намалява в средата на периода.</t>
  </si>
  <si>
    <t xml:space="preserve">Създадена култура за оценки в Системата;
Оптимизиран процес по събиране, обобщаване и анализ на данни, необходими за оценки на политиките от СП;
Разпространени аналитични и оценителни доклади за Системата;
Оптимизирани административни процеси/ процедури в Системата в резултат на отправени препоръки от извършени оценки;
</t>
  </si>
  <si>
    <t xml:space="preserve">Подобрени процеси по управление и контрол на средствата от фондовете на РОР;
Намалена административна тежест за УО-и, кандидати и бенефициенти;
По-добро използване на възможностите, предлагани от различните режими на помощ.
</t>
  </si>
  <si>
    <t xml:space="preserve">(О4-4) Ниво на информираност за програмите от СП
</t>
  </si>
  <si>
    <t>(О2-4) ОГО с повишен капацитет</t>
  </si>
  <si>
    <t>(О2-5) Общини с повишен капацитет</t>
  </si>
  <si>
    <t xml:space="preserve">Брой организации на гражданското общество (ОГО) - бенефициенти по ПТП и/или целева група по проекти по ПТП, подкрепени за повишаване на капацитета за подготовка, изпълнение, популяризиране и оценка на програмите от СП и работа в партньорство; 
</t>
  </si>
  <si>
    <t xml:space="preserve">1. Повишаване капацитета на ОГО за укрепване на принципа на партньорство и за активното им участие в разработването, изпълнението и мониторинг на програмите от СП (напр. чрез организиране на специални работни срещи, обучителни сесии, координационни и мрежови структури, участие в срещи за подготовка, изпълнение, наблюдение и оценка на програми; улесняване на обмена на опит и взаимното обучение);
</t>
  </si>
  <si>
    <t xml:space="preserve">Брой общини - бенефициенти по ПТП и/или целева група по проекти по ПТП, подкрепени за повишаване на общински капацитет за стратегическо планиране и активно участие в инициативи на ЕС.
</t>
  </si>
  <si>
    <t xml:space="preserve">Повишен капацитет на  общини за активното им ангажиране при изпълнението на СП;
Намален брой нередности;
Качествени и полезни за местните общности ИТИ; 
Повишен общински капацитет за стратегическо планиране и активно участие в инициативи на ЕС; 
Осигурена квалифицирана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</si>
  <si>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Общо</t>
  </si>
  <si>
    <t>ЕС част, евро</t>
  </si>
  <si>
    <t>ЕС+НС, всичко</t>
  </si>
  <si>
    <t>ЕС част, евро, закръглено</t>
  </si>
  <si>
    <r>
      <t xml:space="preserve">Брой разработени и </t>
    </r>
    <r>
      <rPr>
        <sz val="9"/>
        <color rgb="FFFF0000"/>
        <rFont val="Times New Roman"/>
        <family val="1"/>
        <charset val="204"/>
      </rPr>
      <t>внедрени</t>
    </r>
    <r>
      <rPr>
        <sz val="9"/>
        <rFont val="Times New Roman"/>
        <family val="1"/>
        <charset val="204"/>
      </rPr>
      <t xml:space="preserve"> нови функционалности на ИСУН за подготовка, изпълнение, мониторинг, контрол, управление и оценка на средствата от фондовете на РОР.</t>
    </r>
  </si>
  <si>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t>
    </r>
    <r>
      <rPr>
        <strike/>
        <sz val="9"/>
        <color rgb="FFFF0000"/>
        <rFont val="Times New Roman"/>
        <family val="1"/>
        <charset val="204"/>
      </rPr>
      <t>По-силно чувство за собственост върху резултатите от страна на гражданите;</t>
    </r>
    <r>
      <rPr>
        <sz val="9"/>
        <rFont val="Times New Roman"/>
        <family val="1"/>
        <charset val="204"/>
      </rPr>
      <t xml:space="preserve">
По-висока степен прозрачност и отчетност при изпълнението на СП.</t>
    </r>
  </si>
  <si>
    <t>АКТУАЛИЗИРАНА Е СЪГЛАСНО ПОСЛЕДНОТО ПИСМО ОТ ЦКЗ!!!</t>
  </si>
  <si>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Актуализирана национална пътна карта на административен капацитет.</t>
    </r>
    <r>
      <rPr>
        <b/>
        <sz val="9"/>
        <rFont val="Times New Roman"/>
        <family val="1"/>
        <charset val="204"/>
      </rPr>
      <t xml:space="preserve">
</t>
    </r>
  </si>
  <si>
    <r>
      <t xml:space="preserve">Брой хоризонтални и междусекторни оценки, извършени и </t>
    </r>
    <r>
      <rPr>
        <sz val="9"/>
        <color rgb="FFFF0000"/>
        <rFont val="Times New Roman"/>
        <family val="1"/>
        <charset val="204"/>
      </rPr>
      <t>проследени</t>
    </r>
    <r>
      <rPr>
        <sz val="9"/>
        <rFont val="Times New Roman"/>
        <family val="1"/>
        <charset val="204"/>
      </rPr>
      <t xml:space="preserve"> в съответствие с Плана за оценка на ПТП/СП. В следствие на всяка извършена оценка е утвърден план за действие, </t>
    </r>
    <r>
      <rPr>
        <sz val="9"/>
        <color rgb="FFFF0000"/>
        <rFont val="Times New Roman"/>
        <family val="1"/>
        <charset val="204"/>
      </rPr>
      <t xml:space="preserve">който трябва да бъде проследяван най-малко една година след издаване на окончателен доклад. </t>
    </r>
    <r>
      <rPr>
        <sz val="9"/>
        <rFont val="Times New Roman"/>
        <family val="1"/>
        <charset val="204"/>
      </rPr>
      <t xml:space="preserve">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r>
  </si>
  <si>
    <t xml:space="preserve">АОП предоставя информация на шестмесечна база за процента на процедурите, при които са спазени препоръките от първия етап на предварителен контрол. Делът се формира като съотношение между броя на ОП по проекти по програмите от СП, при които са спазени препоръките от първия етап на предварителен контрол и броя на всички ОП по проекти по програмите от СП проверени на втори етап.
Източник на информация е модул „Контрол“ в ЦАИС ЕОП, който ще бъде надградена функционалността за филтриране на процедури, финансирани от фондовете на РОР. 
Междинната и целевата стойност са формирани на база данните за 2019 г. и 2020 г., според които 41% от проверените на втория етап ОП са без несъответствия, макар на първия етап да са имали.
</t>
  </si>
  <si>
    <t>Подобрена електронна среда за мониторинг и верификация на проекти по програми от СП;
Бързо адаптиране на ИСУН към нуждите на потребителите на системата;
Намалена административна тежест за УО-и и бенефициентите.</t>
  </si>
  <si>
    <t>(О2-2) Брой обучени</t>
  </si>
  <si>
    <r>
      <t xml:space="preserve">Брой служители на Системата, на ключови бенефициенти по програмите от СП и на партньорски организации и обучени външни оценители, преминали през курс на обучение, по проект по ПТП.  
</t>
    </r>
    <r>
      <rPr>
        <i/>
        <sz val="9"/>
        <rFont val="Times New Roman"/>
        <family val="1"/>
        <charset val="204"/>
      </rPr>
      <t xml:space="preserve">
</t>
    </r>
  </si>
  <si>
    <t xml:space="preserve">Повишен капацитет на ОГО за активното им ангажиране при изпълнението на СП;
Намален брой нередности;
Повишен капацитет на ОГО за подготовка, изпълнение, популяризиране и оценка на програмите от СП и работа в партньорство, със специален акцент за откриване на нередности и докладване; и събиране и интерпретация на данни, използване на ИКТ решения в работните процеси; мониторинг на политики; работа в мрежи. 
</t>
  </si>
  <si>
    <t>(О2-5)</t>
  </si>
  <si>
    <t>ОГО  с повишен капацитет</t>
  </si>
  <si>
    <t>Общини с повишен капацитет</t>
  </si>
  <si>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t>
    </r>
    <r>
      <rPr>
        <sz val="9"/>
        <color rgb="FFFF0000"/>
        <rFont val="Times New Roman"/>
        <family val="1"/>
        <charset val="204"/>
      </rPr>
      <t>по-силно чувство за собственост върху</t>
    </r>
    <r>
      <rPr>
        <sz val="9"/>
        <rFont val="Times New Roman"/>
        <family val="1"/>
        <charset val="204"/>
      </rPr>
      <t xml:space="preserve"> резултатите от страна на гражданите.
</t>
    </r>
  </si>
  <si>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</si>
  <si>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</si>
  <si>
    <t xml:space="preserve">Информираността на широката общественост за програмите от СП се измерва чрез самооценка на респондентите относно познаването на проекти/дейности/резултати, съ-финансирани по програмите от СП. </t>
  </si>
  <si>
    <t>(О3-3) Пактове за почтеност</t>
  </si>
  <si>
    <t>(О3-2)</t>
  </si>
  <si>
    <t>(О3-3)</t>
  </si>
  <si>
    <t xml:space="preserve">(О4-1) </t>
  </si>
  <si>
    <t xml:space="preserve">(О4-2)  </t>
  </si>
  <si>
    <t xml:space="preserve">(O4-4) </t>
  </si>
  <si>
    <t>Обществени консултации, медиации и презентации</t>
  </si>
  <si>
    <t>Пактове за почтеност</t>
  </si>
  <si>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кумулативно показателя към 30 юни и 31 декември на база генерирана информация от всички бенефициенти към съответния отчетен период. 
</t>
  </si>
  <si>
    <t xml:space="preserve">Отчита се броят на подкрепените ОГО.
Всеки бенефициент текущо предоставя на УО информация за броя на подкрепени ОГО.
УО изчислява кумулативно показателя към 30 юни и 31 декември.
</t>
  </si>
  <si>
    <t xml:space="preserve">Отчита се броят на подкрепените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общини. 
УО изчислява кумулативно показателя към 30 юни и 31 декември.
</t>
  </si>
  <si>
    <t>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t>
  </si>
  <si>
    <t xml:space="preserve">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
</t>
  </si>
  <si>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УО изчислява кумулативно показателя към 30 юни и 31 декември.</t>
  </si>
  <si>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</si>
  <si>
    <t>Служители на Системата, чиито възнаграждения се възстановяват (среднопретеглена стойност)</t>
  </si>
  <si>
    <t>1. Развитие на www.eufunds.bg чрез разработване и добавяне на:
- огледална версия за програмен период 2021+; 
- заявка за ел. бюлетин чрез бутон „RRS съобщения“; 
- адаптиране за хора със зрителни увреждания; 
- текуща актуализация за двата периода с фокус върху подхода ИТИ; 
- разпространение на информация и добри практики относно стратегиите за постигане на устойчивост към изменението на климата, особено на регионално равнище и др.</t>
  </si>
  <si>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</si>
  <si>
    <r>
      <t xml:space="preserve">(О1-10) </t>
    </r>
    <r>
      <rPr>
        <b/>
        <sz val="9"/>
        <color rgb="FFFF0000"/>
        <rFont val="Times New Roman"/>
        <family val="1"/>
        <charset val="204"/>
      </rPr>
      <t>Служители на Системата, чиито възнаграждения се възстановяват</t>
    </r>
  </si>
  <si>
    <r>
      <t xml:space="preserve">Брой служители на хоризонтално ниво в органи/звена от Системата на служебно или трудово правоотношение), вкл. служители на УО на ПТП, чиито възнаграждения се възстановяват по програмата </t>
    </r>
    <r>
      <rPr>
        <sz val="9"/>
        <color rgb="FFFF0000"/>
        <rFont val="Times New Roman"/>
        <family val="1"/>
        <charset val="204"/>
      </rPr>
      <t>при еквивалент на пълна заетост.</t>
    </r>
  </si>
  <si>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лектори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</si>
  <si>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</si>
  <si>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</si>
  <si>
    <t xml:space="preserve">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</si>
  <si>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t>
    </r>
  </si>
  <si>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на НПО на всички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</si>
  <si>
    <r>
      <t xml:space="preserve">(О4-1‭) </t>
    </r>
    <r>
      <rPr>
        <b/>
        <sz val="9"/>
        <color rgb="FFFF0000"/>
        <rFont val="Times New Roman"/>
        <family val="1"/>
        <charset val="204"/>
      </rPr>
      <t>Обществени консултации, медиации и презентации</t>
    </r>
  </si>
  <si>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</si>
  <si>
    <t xml:space="preserve">Брой ОГО и СИП (бенефициент или партньор) подкрепени за:
- събиране, обобщаване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</si>
  <si>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мониторинг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и  разпространение на резултатите от извършените анализи с цел повишаване на доверието в Системата; </t>
    </r>
    <r>
      <rPr>
        <sz val="9"/>
        <rFont val="Times New Roman"/>
        <family val="1"/>
        <charset val="204"/>
      </rPr>
      <t xml:space="preserve">
</t>
    </r>
  </si>
  <si>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стойност или най-голяма сложност или с най-висок обществен интерес, която спомага за постигане на основната цел на проекта. </t>
  </si>
  <si>
    <t xml:space="preserve">Вид интервенции и индикативно разпределение на ресурсите по ПТП по вид интервенция или област на подкрепа </t>
  </si>
  <si>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контрола на ЕСИФ/фондовете на РОР. </t>
  </si>
  <si>
    <t xml:space="preserve">Методически насоки и национални разпоредби за управление и контрол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</si>
  <si>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и оптимизиране на процедурите за предварителен контрол
</t>
  </si>
  <si>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изграждане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</si>
  <si>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всички отчетни периоди в периода 2023-2029.
</t>
  </si>
  <si>
    <t xml:space="preserve">1. Подобряване на процесите по подготовка, изпълнение, мониторинг, контрол, управление на програми от СП; 
2. Интеграция с други системи и регистри, в това число хоризонталните системи на електронното управление и с НГП и др.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</si>
  <si>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програми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всички отчетни периоди в периода 2023-2029.
</t>
  </si>
  <si>
    <t>Всеки бенефициента предоставя текущо на УО информация за проведените събития през отчетния период заедно с доказателства относно тяхното провеждане. 
Отчитат се присъствени,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</si>
  <si>
    <r>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t>
    </r>
    <r>
      <rPr>
        <sz val="9"/>
        <color rgb="FFFF0000"/>
        <rFont val="Times New Roman"/>
        <family val="1"/>
        <charset val="204"/>
      </rPr>
      <t xml:space="preserve">4. Осигуряване на прозрачност за предприетите действия във връзка със сигнали/нередности и измами със средства от фондовете на ЕС. </t>
    </r>
  </si>
  <si>
    <r>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t>
    </r>
    <r>
      <rPr>
        <sz val="9"/>
        <color rgb="FFFF0000"/>
        <rFont val="Times New Roman"/>
        <family val="1"/>
        <charset val="204"/>
      </rPr>
      <t xml:space="preserve">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подход, основан на резултатите. </t>
    </r>
    <r>
      <rPr>
        <sz val="9"/>
        <rFont val="Times New Roman"/>
        <family val="1"/>
        <charset val="204"/>
      </rPr>
      <t xml:space="preserve">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r>
  </si>
  <si>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комуникационни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4.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5.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6.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7. Подготовка на стратегии и пътни карти за Системата. </t>
    </r>
    <r>
      <rPr>
        <sz val="9"/>
        <color rgb="FFFF0000"/>
        <rFont val="Times New Roman"/>
        <family val="1"/>
        <charset val="204"/>
      </rPr>
      <t xml:space="preserve"> (ЦКЗ).</t>
    </r>
  </si>
  <si>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   </t>
    </r>
  </si>
  <si>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t>
  </si>
  <si>
    <r>
      <t xml:space="preserve">Надградена, внедрена, </t>
    </r>
    <r>
      <rPr>
        <sz val="9"/>
        <color rgb="FFFF0000"/>
        <rFont val="Times New Roman"/>
        <family val="1"/>
        <charset val="204"/>
      </rPr>
      <t>функционираща</t>
    </r>
    <r>
      <rPr>
        <sz val="9"/>
        <rFont val="Times New Roman"/>
        <family val="1"/>
        <charset val="204"/>
      </rPr>
      <t xml:space="preserve">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</si>
  <si>
    <r>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</si>
  <si>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</si>
  <si>
    <r>
      <t>Под "</t>
    </r>
    <r>
      <rPr>
        <sz val="9"/>
        <color rgb="FFFF0000"/>
        <rFont val="Times New Roman"/>
        <family val="1"/>
        <charset val="204"/>
      </rPr>
      <t>разработен</t>
    </r>
    <r>
      <rPr>
        <sz val="9"/>
        <rFont val="Times New Roman"/>
        <family val="1"/>
        <charset val="204"/>
      </rPr>
      <t xml:space="preserve">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r>
  </si>
  <si>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</si>
  <si>
    <t>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Повишен процент на отстранени грешки, в следствие на подобрен предварителен контрол 
Повишаване на качеството на проверките, извършвани от АОП.</t>
  </si>
  <si>
    <t xml:space="preserve">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t>
  </si>
  <si>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Докладите трябва да бъдат комуникирани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</si>
  <si>
    <r>
      <t xml:space="preserve">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r>
  </si>
  <si>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</si>
  <si>
    <r>
      <rPr>
        <sz val="9"/>
        <color rgb="FFFF0000"/>
        <rFont val="Times New Roman"/>
        <family val="1"/>
        <charset val="204"/>
      </rPr>
      <t>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t>
    </r>
    <r>
      <rPr>
        <sz val="9"/>
        <rFont val="Times New Roman"/>
        <family val="1"/>
        <charset val="204"/>
      </rPr>
      <t xml:space="preserve">
7.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t>
    </r>
    <r>
      <rPr>
        <sz val="9"/>
        <color rgb="FFFF0000"/>
        <rFont val="Times New Roman"/>
        <family val="1"/>
        <charset val="204"/>
      </rPr>
      <t xml:space="preserve">. Изпълнение и проследяване на препоръки от  оценителните доклади за оптимизиране на административни процеси/процедури в Системата.
</t>
    </r>
  </si>
  <si>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</si>
  <si>
    <t>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фондовете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t>
  </si>
  <si>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</si>
  <si>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r>
  </si>
  <si>
    <t>ОБЩО (европейско + национално съфинансиране) (BGN)</t>
  </si>
  <si>
    <t>Стойност на кодове за интервенция (европейско финансиране)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</si>
</sst>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 _л_в_._-;\-* #,##0.00\ _л_в_._-;_-* &quot;-&quot;??\ _л_в_._-;_-@_-"/>
    <numFmt numFmtId="165" formatCode="_(* #,##0.00_);_(* \(#,##0.00\);_(* &quot;-&quot;??_);_(@_)"/>
    <numFmt numFmtId="166" formatCode="_([$€-2]\ * #,##0.00_);_([$€-2]\ * \(#,##0.00\);_([$€-2]\ * &quot;-&quot;??_);_(@_)"/>
    <numFmt numFmtId="167" formatCode="0.000%"/>
    <numFmt numFmtId="168" formatCode="_-* #,##0\ _л_в_._-;\-* #,##0\ _л_в_._-;_-* &quot;-&quot;??\ _л_в_._-;_-@_-"/>
    <numFmt numFmtId="169" formatCode="#,##0.0"/>
    <numFmt numFmtId="170" formatCode="0.000000%"/>
    <numFmt numFmtId="171" formatCode="#,##0.00000"/>
    <numFmt numFmtId="172" formatCode="#,##0.000000"/>
  </numFmts>
  <fonts count="60" x14ac:knownFonts="1">
    <font>
      <sz val="11"/>
      <color theme="1"/>
      <name val="Calibri"/>
      <family val="2"/>
      <charset val="204"/>
      <scheme val="minor"/>
    </font>
    <font>
      <sz val="9"/>
      <color theme="1"/>
      <name val="Times New Roman"/>
      <family val="1"/>
      <charset val="204"/>
    </font>
    <font>
      <sz val="11"/>
      <color theme="1"/>
      <name val="Times New Roman"/>
      <family val="1"/>
      <charset val="204"/>
    </font>
    <font>
      <b/>
      <sz val="9"/>
      <color theme="1"/>
      <name val="Times New Roman"/>
      <family val="1"/>
      <charset val="204"/>
    </font>
    <font>
      <b/>
      <sz val="9"/>
      <color rgb="FF000000"/>
      <name val="Times New Roman"/>
      <family val="1"/>
      <charset val="204"/>
    </font>
    <font>
      <sz val="11"/>
      <color theme="1"/>
      <name val="Calibri"/>
      <family val="2"/>
      <charset val="204"/>
      <scheme val="minor"/>
    </font>
    <font>
      <b/>
      <sz val="11"/>
      <color theme="1"/>
      <name val="Calibri"/>
      <family val="2"/>
      <charset val="204"/>
      <scheme val="minor"/>
    </font>
    <font>
      <b/>
      <sz val="12"/>
      <color theme="1"/>
      <name val="Candara"/>
      <family val="2"/>
      <charset val="204"/>
    </font>
    <font>
      <sz val="12"/>
      <color theme="1"/>
      <name val="Candara"/>
      <family val="2"/>
      <charset val="204"/>
    </font>
    <font>
      <sz val="11"/>
      <color theme="1"/>
      <name val="Calibri"/>
      <family val="2"/>
      <scheme val="minor"/>
    </font>
    <font>
      <b/>
      <sz val="10"/>
      <color rgb="FF000000"/>
      <name val="Tahoma"/>
      <family val="2"/>
      <charset val="204"/>
    </font>
    <font>
      <sz val="10"/>
      <color theme="1"/>
      <name val="Candara"/>
      <family val="2"/>
      <charset val="204"/>
    </font>
    <font>
      <sz val="11"/>
      <color rgb="FF002060"/>
      <name val="Times New Roman"/>
      <family val="1"/>
      <charset val="204"/>
    </font>
    <font>
      <sz val="11"/>
      <color rgb="FF002060"/>
      <name val="Calibri"/>
      <family val="2"/>
      <charset val="204"/>
      <scheme val="minor"/>
    </font>
    <font>
      <b/>
      <sz val="11"/>
      <color theme="9"/>
      <name val="Times New Roman"/>
      <family val="1"/>
      <charset val="204"/>
    </font>
    <font>
      <b/>
      <sz val="11"/>
      <color theme="9"/>
      <name val="Calibri"/>
      <family val="2"/>
      <charset val="204"/>
      <scheme val="minor"/>
    </font>
    <font>
      <b/>
      <sz val="13"/>
      <color rgb="FF000000"/>
      <name val="Times New Roman"/>
      <family val="1"/>
      <charset val="204"/>
    </font>
    <font>
      <b/>
      <sz val="12"/>
      <color rgb="FF000000"/>
      <name val="Times New Roman"/>
      <family val="1"/>
      <charset val="204"/>
    </font>
    <font>
      <sz val="9"/>
      <name val="Times New Roman"/>
      <family val="1"/>
      <charset val="204"/>
    </font>
    <font>
      <sz val="11"/>
      <name val="Times New Roman"/>
      <family val="1"/>
      <charset val="204"/>
    </font>
    <font>
      <b/>
      <sz val="11"/>
      <color theme="1"/>
      <name val="Times New Roman"/>
      <family val="1"/>
      <charset val="204"/>
    </font>
    <font>
      <sz val="9"/>
      <color theme="1"/>
      <name val="Calibri"/>
      <family val="2"/>
      <scheme val="minor"/>
    </font>
    <font>
      <sz val="11"/>
      <name val="Calibri"/>
      <family val="2"/>
      <scheme val="minor"/>
    </font>
    <font>
      <i/>
      <sz val="9"/>
      <color theme="1"/>
      <name val="Times New Roman"/>
      <family val="1"/>
      <charset val="204"/>
    </font>
    <font>
      <sz val="9"/>
      <color rgb="FFFF0000"/>
      <name val="Times New Roman"/>
      <family val="1"/>
      <charset val="204"/>
    </font>
    <font>
      <i/>
      <sz val="9"/>
      <name val="Times New Roman"/>
      <family val="1"/>
      <charset val="204"/>
    </font>
    <font>
      <b/>
      <sz val="10"/>
      <color rgb="FFFF0000"/>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b/>
      <sz val="11"/>
      <color theme="9" tint="-0.249977111117893"/>
      <name val="Times New Roman"/>
      <family val="1"/>
      <charset val="204"/>
    </font>
    <font>
      <sz val="11"/>
      <color theme="9" tint="-0.249977111117893"/>
      <name val="Times New Roman"/>
      <family val="1"/>
      <charset val="204"/>
    </font>
    <font>
      <b/>
      <sz val="8"/>
      <color theme="1"/>
      <name val="Times New Roman"/>
      <family val="1"/>
      <charset val="204"/>
    </font>
    <font>
      <sz val="11.5"/>
      <color theme="1"/>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15"/>
      <color theme="1"/>
      <name val="Times New Roman"/>
      <family val="1"/>
      <charset val="204"/>
    </font>
    <font>
      <i/>
      <sz val="11"/>
      <color rgb="FF000000"/>
      <name val="Times New Roman"/>
      <family val="1"/>
      <charset val="204"/>
    </font>
    <font>
      <b/>
      <sz val="8"/>
      <name val="Times New Roman"/>
      <family val="1"/>
      <charset val="204"/>
    </font>
    <font>
      <b/>
      <sz val="11"/>
      <name val="Times New Roman"/>
      <family val="1"/>
      <charset val="204"/>
    </font>
    <font>
      <b/>
      <sz val="12"/>
      <name val="Times New Roman"/>
      <family val="1"/>
      <charset val="204"/>
    </font>
    <font>
      <sz val="11"/>
      <color theme="0"/>
      <name val="Calibri"/>
      <family val="2"/>
      <charset val="204"/>
      <scheme val="minor"/>
    </font>
    <font>
      <sz val="11"/>
      <color theme="0"/>
      <name val="Times New Roman"/>
      <family val="1"/>
      <charset val="204"/>
    </font>
    <font>
      <b/>
      <sz val="11"/>
      <color theme="0"/>
      <name val="Times New Roman"/>
      <family val="1"/>
      <charset val="204"/>
    </font>
    <font>
      <b/>
      <sz val="8"/>
      <color theme="0"/>
      <name val="Times New Roman"/>
      <family val="1"/>
      <charset val="204"/>
    </font>
    <font>
      <b/>
      <sz val="9"/>
      <color theme="0"/>
      <name val="Times New Roman"/>
      <family val="1"/>
      <charset val="204"/>
    </font>
    <font>
      <sz val="9"/>
      <color theme="0"/>
      <name val="Times New Roman"/>
      <family val="1"/>
      <charset val="204"/>
    </font>
    <font>
      <sz val="12"/>
      <color rgb="FF7030A0"/>
      <name val="Times New Roman"/>
      <family val="1"/>
      <charset val="204"/>
    </font>
    <font>
      <b/>
      <sz val="12"/>
      <color rgb="FF7030A0"/>
      <name val="Times New Roman"/>
      <family val="1"/>
      <charset val="204"/>
    </font>
    <font>
      <b/>
      <sz val="9"/>
      <color rgb="FFFF0000"/>
      <name val="Times New Roman"/>
      <family val="1"/>
      <charset val="204"/>
    </font>
    <font>
      <b/>
      <sz val="9"/>
      <name val="Times New Roman"/>
      <family val="1"/>
      <charset val="204"/>
    </font>
    <font>
      <b/>
      <sz val="9"/>
      <color rgb="FF7030A0"/>
      <name val="Times New Roman"/>
      <family val="1"/>
      <charset val="204"/>
    </font>
    <font>
      <sz val="9"/>
      <color rgb="FF7030A0"/>
      <name val="Times New Roman"/>
      <family val="1"/>
      <charset val="204"/>
    </font>
    <font>
      <b/>
      <sz val="9"/>
      <name val="Times New Roman"/>
      <family val="1"/>
      <charset val="204"/>
    </font>
    <font>
      <b/>
      <i/>
      <sz val="8"/>
      <name val="Times New Roman"/>
      <family val="1"/>
      <charset val="204"/>
    </font>
    <font>
      <strike/>
      <sz val="9"/>
      <color rgb="FFFF0000"/>
      <name val="Times New Roman"/>
      <family val="1"/>
      <charset val="204"/>
    </font>
    <font>
      <i/>
      <sz val="9"/>
      <color rgb="FFFF0000"/>
      <name val="Times New Roman"/>
      <family val="1"/>
      <charset val="204"/>
    </font>
    <font>
      <b/>
      <sz val="14"/>
      <color rgb="FF002060"/>
      <name val="Times New Roman"/>
      <family val="1"/>
      <charset val="204"/>
    </font>
    <font>
      <sz val="10"/>
      <name val="Times New Roman"/>
      <family val="1"/>
      <charset val="204"/>
    </font>
  </fonts>
  <fills count="2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0F0F0"/>
        <bgColor indexed="64"/>
      </patternFill>
    </fill>
    <fill>
      <patternFill patternType="solid">
        <fgColor rgb="FFEEF9FE"/>
      </patternFill>
    </fill>
    <fill>
      <patternFill patternType="solid">
        <fgColor rgb="FFFBFBFB"/>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CCEC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BBBBBB"/>
      </left>
      <right style="medium">
        <color rgb="FFBBBBBB"/>
      </right>
      <top style="medium">
        <color rgb="FFBBBBBB"/>
      </top>
      <bottom style="medium">
        <color rgb="FFBBBBBB"/>
      </bottom>
      <diagonal/>
    </border>
    <border>
      <left style="thin">
        <color indexed="9"/>
      </left>
      <right style="thin">
        <color indexed="9"/>
      </right>
      <top style="thin">
        <color indexed="9"/>
      </top>
      <bottom style="thin">
        <color indexed="9"/>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12">
    <xf numFmtId="0" fontId="0" fillId="0" borderId="0"/>
    <xf numFmtId="164" fontId="5" fillId="0" borderId="0" applyFont="0" applyFill="0" applyBorder="0" applyAlignment="0" applyProtection="0"/>
    <xf numFmtId="0" fontId="5" fillId="0" borderId="0"/>
    <xf numFmtId="9"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9"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0" fontId="5" fillId="0" borderId="0"/>
  </cellStyleXfs>
  <cellXfs count="498">
    <xf numFmtId="0" fontId="0" fillId="0" borderId="0" xfId="0"/>
    <xf numFmtId="0" fontId="3" fillId="2" borderId="1" xfId="0" applyFont="1" applyFill="1" applyBorder="1" applyAlignment="1">
      <alignment horizontal="center"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3" fillId="2" borderId="2" xfId="0" applyFont="1" applyFill="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1" fillId="0" borderId="9"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3" fontId="3" fillId="0" borderId="3" xfId="0" applyNumberFormat="1" applyFont="1" applyBorder="1" applyAlignment="1">
      <alignment vertical="top" wrapText="1"/>
    </xf>
    <xf numFmtId="0" fontId="3" fillId="0" borderId="3" xfId="0" applyFont="1" applyBorder="1" applyAlignment="1">
      <alignment horizontal="left" vertical="top" wrapText="1"/>
    </xf>
    <xf numFmtId="3" fontId="3" fillId="0" borderId="2"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9" xfId="0" applyNumberFormat="1" applyFont="1" applyBorder="1" applyAlignment="1">
      <alignment horizontal="righ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3" fontId="3" fillId="0" borderId="0" xfId="0" applyNumberFormat="1" applyFont="1" applyAlignment="1">
      <alignment horizontal="righ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right" vertical="top" wrapText="1"/>
    </xf>
    <xf numFmtId="3" fontId="1" fillId="0" borderId="4" xfId="0" applyNumberFormat="1" applyFont="1" applyBorder="1" applyAlignment="1">
      <alignment horizontal="left" vertical="top" wrapText="1"/>
    </xf>
    <xf numFmtId="0" fontId="8" fillId="0" borderId="0" xfId="2" applyFont="1"/>
    <xf numFmtId="0" fontId="7" fillId="5" borderId="16"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0" borderId="0" xfId="2" applyFont="1" applyAlignment="1">
      <alignment wrapText="1"/>
    </xf>
    <xf numFmtId="0" fontId="7" fillId="6" borderId="3" xfId="2" applyFont="1" applyFill="1" applyBorder="1" applyAlignment="1">
      <alignment horizontal="center" wrapText="1"/>
    </xf>
    <xf numFmtId="0" fontId="7" fillId="6" borderId="6" xfId="2" applyFont="1" applyFill="1" applyBorder="1" applyAlignment="1">
      <alignment horizontal="center" vertical="center" wrapText="1"/>
    </xf>
    <xf numFmtId="3" fontId="7" fillId="7" borderId="1" xfId="2" applyNumberFormat="1" applyFont="1" applyFill="1" applyBorder="1" applyAlignment="1">
      <alignment horizontal="center"/>
    </xf>
    <xf numFmtId="3" fontId="7" fillId="7" borderId="1" xfId="2" applyNumberFormat="1" applyFont="1" applyFill="1" applyBorder="1"/>
    <xf numFmtId="0" fontId="8" fillId="4" borderId="11" xfId="2" applyFont="1" applyFill="1" applyBorder="1" applyAlignment="1">
      <alignment vertical="center"/>
    </xf>
    <xf numFmtId="3" fontId="8" fillId="4" borderId="1" xfId="2" applyNumberFormat="1" applyFont="1" applyFill="1" applyBorder="1" applyAlignment="1">
      <alignment horizontal="right" vertical="center" wrapText="1"/>
    </xf>
    <xf numFmtId="0" fontId="8" fillId="4" borderId="1" xfId="2" applyFont="1" applyFill="1" applyBorder="1" applyAlignment="1">
      <alignment horizontal="left" vertical="center" wrapText="1"/>
    </xf>
    <xf numFmtId="9" fontId="8" fillId="0" borderId="0" xfId="3" applyFont="1"/>
    <xf numFmtId="0" fontId="7" fillId="8" borderId="0" xfId="2" applyFont="1" applyFill="1" applyBorder="1" applyAlignment="1">
      <alignment vertical="center" wrapText="1"/>
    </xf>
    <xf numFmtId="0" fontId="8" fillId="0" borderId="0" xfId="2" applyFont="1" applyBorder="1"/>
    <xf numFmtId="0" fontId="8" fillId="4" borderId="11" xfId="2" applyFont="1" applyFill="1" applyBorder="1" applyAlignment="1">
      <alignment vertical="center" wrapText="1"/>
    </xf>
    <xf numFmtId="0" fontId="8" fillId="4" borderId="1" xfId="2" applyFont="1" applyFill="1" applyBorder="1"/>
    <xf numFmtId="0" fontId="8" fillId="4" borderId="0" xfId="2" applyFont="1" applyFill="1"/>
    <xf numFmtId="3" fontId="8" fillId="4" borderId="2" xfId="2" applyNumberFormat="1" applyFont="1" applyFill="1" applyBorder="1" applyAlignment="1">
      <alignment horizontal="right" vertical="center"/>
    </xf>
    <xf numFmtId="0" fontId="8" fillId="4" borderId="2" xfId="2" applyFont="1" applyFill="1" applyBorder="1" applyAlignment="1">
      <alignment horizontal="left" vertical="center" wrapText="1"/>
    </xf>
    <xf numFmtId="0" fontId="7" fillId="7" borderId="1" xfId="2" applyFont="1" applyFill="1" applyBorder="1"/>
    <xf numFmtId="3" fontId="7" fillId="7" borderId="1" xfId="2" applyNumberFormat="1" applyFont="1" applyFill="1" applyBorder="1" applyAlignment="1">
      <alignment horizontal="right" vertical="center"/>
    </xf>
    <xf numFmtId="166" fontId="8" fillId="7" borderId="1" xfId="4" applyNumberFormat="1" applyFont="1" applyFill="1" applyBorder="1" applyAlignment="1">
      <alignment horizontal="left"/>
    </xf>
    <xf numFmtId="0" fontId="7" fillId="6" borderId="1" xfId="2" applyFont="1" applyFill="1" applyBorder="1" applyAlignment="1">
      <alignment horizontal="center" wrapText="1"/>
    </xf>
    <xf numFmtId="0" fontId="7" fillId="6" borderId="1" xfId="2" applyFont="1" applyFill="1" applyBorder="1" applyAlignment="1">
      <alignment horizontal="center" vertical="center" wrapText="1"/>
    </xf>
    <xf numFmtId="0" fontId="8" fillId="4" borderId="4" xfId="2" applyFont="1" applyFill="1" applyBorder="1" applyAlignment="1">
      <alignment wrapText="1"/>
    </xf>
    <xf numFmtId="3" fontId="8" fillId="4" borderId="4" xfId="2" applyNumberFormat="1" applyFont="1" applyFill="1" applyBorder="1" applyAlignment="1">
      <alignment horizontal="right"/>
    </xf>
    <xf numFmtId="9" fontId="7" fillId="7" borderId="1" xfId="3" applyFont="1" applyFill="1" applyBorder="1" applyAlignment="1">
      <alignment horizontal="center"/>
    </xf>
    <xf numFmtId="0" fontId="8" fillId="4" borderId="1" xfId="2" applyFont="1" applyFill="1" applyBorder="1" applyAlignment="1">
      <alignment wrapText="1"/>
    </xf>
    <xf numFmtId="3" fontId="8" fillId="4" borderId="1" xfId="2" applyNumberFormat="1" applyFont="1" applyFill="1" applyBorder="1" applyAlignment="1">
      <alignment horizontal="right"/>
    </xf>
    <xf numFmtId="166" fontId="8" fillId="7" borderId="1" xfId="4" applyNumberFormat="1" applyFont="1" applyFill="1" applyBorder="1" applyAlignment="1">
      <alignment horizontal="right"/>
    </xf>
    <xf numFmtId="9" fontId="8" fillId="0" borderId="0" xfId="3" applyNumberFormat="1" applyFont="1"/>
    <xf numFmtId="0" fontId="7" fillId="9" borderId="1" xfId="2" applyFont="1" applyFill="1" applyBorder="1"/>
    <xf numFmtId="3" fontId="7" fillId="9" borderId="1" xfId="2" applyNumberFormat="1" applyFont="1" applyFill="1" applyBorder="1" applyAlignment="1">
      <alignment horizontal="right"/>
    </xf>
    <xf numFmtId="167" fontId="7" fillId="7" borderId="1" xfId="3" applyNumberFormat="1" applyFont="1" applyFill="1" applyBorder="1" applyAlignment="1">
      <alignment horizontal="center"/>
    </xf>
    <xf numFmtId="165" fontId="8" fillId="0" borderId="0" xfId="5" applyFont="1"/>
    <xf numFmtId="3" fontId="3" fillId="0" borderId="1" xfId="0" applyNumberFormat="1"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0" xfId="0" applyFont="1" applyBorder="1" applyAlignment="1">
      <alignment vertical="top" wrapText="1"/>
    </xf>
    <xf numFmtId="3" fontId="3" fillId="0" borderId="2" xfId="0" applyNumberFormat="1" applyFont="1" applyBorder="1" applyAlignment="1">
      <alignment vertical="top" wrapText="1"/>
    </xf>
    <xf numFmtId="3" fontId="3" fillId="0" borderId="9" xfId="0" applyNumberFormat="1" applyFont="1" applyBorder="1" applyAlignment="1">
      <alignment vertical="top" wrapText="1"/>
    </xf>
    <xf numFmtId="0" fontId="3" fillId="0" borderId="6" xfId="0" applyFont="1" applyBorder="1" applyAlignment="1">
      <alignment vertical="top" wrapText="1"/>
    </xf>
    <xf numFmtId="164" fontId="3" fillId="0" borderId="4" xfId="1" applyFont="1" applyBorder="1" applyAlignment="1">
      <alignment horizontal="right" vertical="top" wrapText="1"/>
    </xf>
    <xf numFmtId="164" fontId="8" fillId="4" borderId="0" xfId="1" applyFont="1" applyFill="1"/>
    <xf numFmtId="3" fontId="1" fillId="0" borderId="0" xfId="0" applyNumberFormat="1" applyFont="1" applyAlignment="1">
      <alignment vertical="top" wrapText="1"/>
    </xf>
    <xf numFmtId="1" fontId="3" fillId="0" borderId="2" xfId="0" applyNumberFormat="1" applyFont="1" applyBorder="1" applyAlignment="1">
      <alignment vertical="top" wrapText="1"/>
    </xf>
    <xf numFmtId="3" fontId="3" fillId="0" borderId="0" xfId="0" applyNumberFormat="1" applyFont="1" applyAlignment="1">
      <alignment vertical="top" wrapText="1"/>
    </xf>
    <xf numFmtId="0" fontId="1" fillId="0" borderId="0" xfId="0" applyFont="1" applyAlignment="1">
      <alignment horizontal="right" vertical="top" wrapText="1"/>
    </xf>
    <xf numFmtId="0" fontId="1" fillId="0" borderId="22" xfId="0" applyFont="1" applyBorder="1" applyAlignment="1">
      <alignment horizontal="righ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1" fillId="0" borderId="26" xfId="0" applyFont="1" applyBorder="1" applyAlignment="1">
      <alignment vertical="top" wrapText="1"/>
    </xf>
    <xf numFmtId="9" fontId="1" fillId="0" borderId="27" xfId="7" applyFont="1" applyBorder="1" applyAlignment="1">
      <alignment vertical="top" wrapText="1"/>
    </xf>
    <xf numFmtId="16" fontId="1" fillId="0" borderId="24" xfId="0" applyNumberFormat="1" applyFont="1" applyBorder="1" applyAlignment="1">
      <alignment horizontal="right" vertical="top" wrapText="1"/>
    </xf>
    <xf numFmtId="1" fontId="1" fillId="0" borderId="23" xfId="0" applyNumberFormat="1" applyFont="1" applyBorder="1" applyAlignment="1">
      <alignment vertical="top" wrapText="1"/>
    </xf>
    <xf numFmtId="1" fontId="1" fillId="0" borderId="28" xfId="0" applyNumberFormat="1" applyFont="1" applyBorder="1" applyAlignment="1">
      <alignment vertical="top" wrapText="1"/>
    </xf>
    <xf numFmtId="3" fontId="3" fillId="0" borderId="29" xfId="0" applyNumberFormat="1" applyFont="1" applyBorder="1" applyAlignment="1">
      <alignment horizontal="right" vertical="top" wrapText="1"/>
    </xf>
    <xf numFmtId="3" fontId="3" fillId="0" borderId="3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3" fillId="0" borderId="11" xfId="0" applyNumberFormat="1" applyFont="1" applyBorder="1" applyAlignment="1">
      <alignment horizontal="right" vertical="top" wrapText="1"/>
    </xf>
    <xf numFmtId="0" fontId="1" fillId="0" borderId="7" xfId="0" applyFont="1" applyBorder="1" applyAlignment="1">
      <alignment vertical="top" wrapText="1"/>
    </xf>
    <xf numFmtId="3" fontId="3" fillId="0" borderId="7" xfId="0" applyNumberFormat="1" applyFont="1" applyBorder="1" applyAlignment="1">
      <alignment vertical="top" wrapText="1"/>
    </xf>
    <xf numFmtId="0" fontId="3" fillId="0" borderId="10" xfId="0" applyFont="1" applyBorder="1" applyAlignment="1">
      <alignmen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3" fontId="1" fillId="0" borderId="0" xfId="0" applyNumberFormat="1" applyFont="1" applyBorder="1" applyAlignment="1">
      <alignment vertical="top" wrapText="1"/>
    </xf>
    <xf numFmtId="1" fontId="1" fillId="0" borderId="0" xfId="0" applyNumberFormat="1" applyFont="1" applyAlignment="1">
      <alignment vertical="top" wrapText="1"/>
    </xf>
    <xf numFmtId="0" fontId="1" fillId="0" borderId="22" xfId="0" applyFont="1" applyBorder="1" applyAlignment="1">
      <alignment vertical="top" wrapText="1"/>
    </xf>
    <xf numFmtId="9" fontId="0" fillId="0" borderId="0" xfId="7" applyFont="1"/>
    <xf numFmtId="4" fontId="0" fillId="0" borderId="0" xfId="0" applyNumberFormat="1"/>
    <xf numFmtId="0" fontId="0" fillId="11" borderId="0" xfId="0" applyFill="1"/>
    <xf numFmtId="0" fontId="10" fillId="12" borderId="36" xfId="0" applyFont="1" applyFill="1" applyBorder="1" applyAlignment="1">
      <alignment horizontal="right" wrapText="1"/>
    </xf>
    <xf numFmtId="0" fontId="10" fillId="0" borderId="0" xfId="0" applyFont="1"/>
    <xf numFmtId="3" fontId="0" fillId="0" borderId="0" xfId="0" applyNumberFormat="1"/>
    <xf numFmtId="1" fontId="0" fillId="0" borderId="0" xfId="0" applyNumberFormat="1"/>
    <xf numFmtId="3" fontId="11" fillId="0"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3" fontId="6" fillId="0" borderId="0" xfId="0" applyNumberFormat="1" applyFont="1"/>
    <xf numFmtId="168" fontId="0" fillId="0" borderId="0" xfId="1" applyNumberFormat="1" applyFont="1"/>
    <xf numFmtId="10" fontId="0" fillId="0" borderId="0" xfId="7" applyNumberFormat="1" applyFont="1"/>
    <xf numFmtId="1" fontId="0" fillId="13" borderId="37" xfId="0" applyNumberFormat="1" applyFill="1" applyBorder="1" applyAlignment="1">
      <alignment horizontal="right"/>
    </xf>
    <xf numFmtId="1" fontId="0" fillId="14" borderId="37" xfId="0" applyNumberFormat="1" applyFill="1" applyBorder="1" applyAlignment="1">
      <alignment horizontal="right"/>
    </xf>
    <xf numFmtId="0" fontId="0" fillId="8" borderId="0" xfId="0" applyFill="1"/>
    <xf numFmtId="0" fontId="2" fillId="8" borderId="0" xfId="0" applyFont="1" applyFill="1"/>
    <xf numFmtId="168" fontId="2" fillId="8" borderId="0" xfId="0" applyNumberFormat="1" applyFont="1" applyFill="1"/>
    <xf numFmtId="3" fontId="6" fillId="8" borderId="0" xfId="0" applyNumberFormat="1" applyFont="1" applyFill="1" applyBorder="1"/>
    <xf numFmtId="0" fontId="0" fillId="8" borderId="0" xfId="0" applyFill="1" applyAlignment="1">
      <alignment horizontal="left" vertical="top" wrapText="1"/>
    </xf>
    <xf numFmtId="0" fontId="21" fillId="8" borderId="0" xfId="0" applyFont="1" applyFill="1" applyAlignment="1">
      <alignment horizontal="left" vertical="top" wrapText="1"/>
    </xf>
    <xf numFmtId="0" fontId="0" fillId="8" borderId="0" xfId="0" applyFont="1" applyFill="1"/>
    <xf numFmtId="3" fontId="0" fillId="8" borderId="0" xfId="0" applyNumberFormat="1" applyFill="1" applyAlignment="1">
      <alignment horizontal="right"/>
    </xf>
    <xf numFmtId="3" fontId="22" fillId="8" borderId="0" xfId="0" applyNumberFormat="1" applyFont="1" applyFill="1" applyAlignment="1">
      <alignment horizontal="right"/>
    </xf>
    <xf numFmtId="4" fontId="0" fillId="8" borderId="0" xfId="0" applyNumberFormat="1" applyFont="1" applyFill="1" applyBorder="1"/>
    <xf numFmtId="0" fontId="28"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3" xfId="0" applyFont="1" applyBorder="1" applyAlignment="1">
      <alignment horizontal="justify" vertical="center" wrapText="1"/>
    </xf>
    <xf numFmtId="4" fontId="29" fillId="0" borderId="19" xfId="0" applyNumberFormat="1" applyFont="1" applyBorder="1" applyAlignment="1">
      <alignment horizontal="right" vertical="center" wrapText="1"/>
    </xf>
    <xf numFmtId="4" fontId="29" fillId="0" borderId="19" xfId="0" applyNumberFormat="1" applyFont="1" applyBorder="1" applyAlignment="1">
      <alignment horizontal="center" vertical="center" wrapText="1"/>
    </xf>
    <xf numFmtId="10" fontId="29" fillId="0" borderId="19" xfId="0" applyNumberFormat="1" applyFont="1" applyBorder="1" applyAlignment="1">
      <alignment horizontal="center" vertical="center" wrapText="1"/>
    </xf>
    <xf numFmtId="0" fontId="0" fillId="8" borderId="0" xfId="0" applyFont="1" applyFill="1" applyBorder="1"/>
    <xf numFmtId="0" fontId="29" fillId="0" borderId="33" xfId="0" applyFont="1" applyFill="1" applyBorder="1" applyAlignment="1">
      <alignment horizontal="justify" vertical="center" wrapText="1"/>
    </xf>
    <xf numFmtId="0" fontId="29" fillId="0" borderId="19" xfId="0" applyFont="1" applyFill="1" applyBorder="1" applyAlignment="1">
      <alignment horizontal="left" vertical="center" wrapText="1"/>
    </xf>
    <xf numFmtId="0" fontId="29" fillId="0" borderId="19" xfId="0" applyFont="1" applyBorder="1" applyAlignment="1">
      <alignment horizontal="right" vertical="center" wrapText="1"/>
    </xf>
    <xf numFmtId="2" fontId="29" fillId="0" borderId="19" xfId="0" applyNumberFormat="1" applyFont="1" applyBorder="1" applyAlignment="1">
      <alignment horizontal="right" vertical="center" wrapText="1"/>
    </xf>
    <xf numFmtId="10" fontId="29" fillId="0" borderId="19" xfId="7" applyNumberFormat="1" applyFont="1" applyBorder="1" applyAlignment="1">
      <alignment horizontal="center" vertical="center" wrapText="1"/>
    </xf>
    <xf numFmtId="4" fontId="0" fillId="8" borderId="0" xfId="0" applyNumberFormat="1" applyFont="1" applyFill="1"/>
    <xf numFmtId="0" fontId="29" fillId="0" borderId="19" xfId="0" applyFont="1" applyFill="1" applyBorder="1" applyAlignment="1">
      <alignment horizontal="justify" vertical="center" wrapText="1"/>
    </xf>
    <xf numFmtId="4" fontId="28" fillId="0" borderId="19" xfId="0" applyNumberFormat="1" applyFont="1" applyBorder="1" applyAlignment="1">
      <alignment horizontal="center" vertical="center" wrapText="1"/>
    </xf>
    <xf numFmtId="170" fontId="28" fillId="0" borderId="19" xfId="7" applyNumberFormat="1" applyFont="1" applyBorder="1" applyAlignment="1">
      <alignment horizontal="center" vertical="center" wrapText="1"/>
    </xf>
    <xf numFmtId="3" fontId="2" fillId="8" borderId="0" xfId="0" applyNumberFormat="1" applyFont="1" applyFill="1" applyBorder="1" applyAlignment="1">
      <alignment horizontal="right" vertical="center" wrapText="1"/>
    </xf>
    <xf numFmtId="4" fontId="2" fillId="8" borderId="0" xfId="0" applyNumberFormat="1" applyFont="1" applyFill="1" applyBorder="1" applyAlignment="1">
      <alignment horizontal="right" vertical="center" wrapText="1"/>
    </xf>
    <xf numFmtId="3" fontId="0" fillId="8" borderId="0" xfId="0" applyNumberFormat="1" applyFont="1" applyFill="1" applyBorder="1" applyAlignment="1">
      <alignment vertical="top" wrapText="1"/>
    </xf>
    <xf numFmtId="3" fontId="0" fillId="8" borderId="0" xfId="0" applyNumberFormat="1" applyFont="1" applyFill="1" applyBorder="1"/>
    <xf numFmtId="3" fontId="29" fillId="8" borderId="0" xfId="0" applyNumberFormat="1" applyFont="1" applyFill="1" applyBorder="1" applyAlignment="1">
      <alignment horizontal="right" vertical="center" wrapText="1"/>
    </xf>
    <xf numFmtId="3" fontId="20" fillId="8" borderId="0" xfId="0" applyNumberFormat="1" applyFont="1" applyFill="1" applyBorder="1" applyAlignment="1">
      <alignment horizontal="center" vertical="center" wrapText="1"/>
    </xf>
    <xf numFmtId="3" fontId="30" fillId="8" borderId="0" xfId="0" applyNumberFormat="1" applyFont="1" applyFill="1" applyBorder="1" applyAlignment="1">
      <alignment wrapText="1"/>
    </xf>
    <xf numFmtId="3" fontId="31" fillId="8" borderId="0" xfId="0" applyNumberFormat="1" applyFont="1" applyFill="1" applyBorder="1" applyAlignment="1">
      <alignment vertical="center" wrapText="1"/>
    </xf>
    <xf numFmtId="3" fontId="20" fillId="8" borderId="0" xfId="0" applyNumberFormat="1" applyFont="1" applyFill="1" applyBorder="1" applyAlignment="1">
      <alignment horizontal="right" vertical="center" wrapText="1"/>
    </xf>
    <xf numFmtId="3" fontId="30" fillId="8" borderId="0" xfId="0" applyNumberFormat="1" applyFont="1" applyFill="1" applyBorder="1" applyAlignment="1">
      <alignment horizontal="center" vertical="top" wrapText="1"/>
    </xf>
    <xf numFmtId="3" fontId="30" fillId="8" borderId="0" xfId="0" applyNumberFormat="1" applyFont="1" applyFill="1" applyBorder="1" applyAlignment="1">
      <alignment horizontal="right" wrapText="1"/>
    </xf>
    <xf numFmtId="3" fontId="30" fillId="8" borderId="0" xfId="0" applyNumberFormat="1" applyFont="1" applyFill="1" applyBorder="1" applyAlignment="1">
      <alignment horizontal="right" vertical="top" wrapText="1"/>
    </xf>
    <xf numFmtId="3" fontId="18" fillId="15" borderId="1" xfId="0" applyNumberFormat="1" applyFont="1" applyFill="1" applyBorder="1" applyAlignment="1">
      <alignment horizontal="center" vertical="center" wrapText="1"/>
    </xf>
    <xf numFmtId="3" fontId="3" fillId="17" borderId="1" xfId="0" applyNumberFormat="1" applyFont="1" applyFill="1" applyBorder="1" applyAlignment="1">
      <alignment horizontal="center" vertical="center"/>
    </xf>
    <xf numFmtId="3" fontId="2" fillId="10" borderId="1" xfId="0" applyNumberFormat="1" applyFont="1" applyFill="1" applyBorder="1" applyAlignment="1">
      <alignment vertical="distributed"/>
    </xf>
    <xf numFmtId="3" fontId="19" fillId="10" borderId="1" xfId="0" applyNumberFormat="1" applyFont="1" applyFill="1" applyBorder="1" applyAlignment="1">
      <alignment vertical="distributed"/>
    </xf>
    <xf numFmtId="3" fontId="20" fillId="17" borderId="1" xfId="0" applyNumberFormat="1" applyFont="1" applyFill="1" applyBorder="1" applyAlignment="1">
      <alignment vertical="distributed"/>
    </xf>
    <xf numFmtId="3" fontId="2" fillId="10" borderId="1" xfId="0" applyNumberFormat="1" applyFont="1" applyFill="1" applyBorder="1" applyAlignment="1">
      <alignment vertical="distributed" wrapText="1"/>
    </xf>
    <xf numFmtId="3" fontId="1" fillId="10" borderId="1" xfId="0" applyNumberFormat="1" applyFont="1" applyFill="1" applyBorder="1" applyAlignment="1">
      <alignment vertical="distributed" wrapText="1"/>
    </xf>
    <xf numFmtId="0" fontId="33" fillId="10" borderId="1" xfId="0" applyFont="1" applyFill="1" applyBorder="1" applyAlignment="1">
      <alignment vertical="center" wrapText="1"/>
    </xf>
    <xf numFmtId="0" fontId="17" fillId="0" borderId="19" xfId="0" applyFont="1" applyBorder="1" applyAlignment="1">
      <alignment horizontal="justify" vertical="center" wrapText="1"/>
    </xf>
    <xf numFmtId="0" fontId="17" fillId="0" borderId="19" xfId="0" applyFont="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9" xfId="0" applyNumberFormat="1" applyFont="1" applyBorder="1" applyAlignment="1">
      <alignment horizontal="center" vertical="center" wrapText="1"/>
    </xf>
    <xf numFmtId="0" fontId="34" fillId="0" borderId="19" xfId="0" applyFont="1" applyBorder="1" applyAlignment="1">
      <alignment horizontal="left" vertical="center" wrapText="1"/>
    </xf>
    <xf numFmtId="0" fontId="28" fillId="0" borderId="48" xfId="0" applyFont="1" applyBorder="1" applyAlignment="1">
      <alignment horizontal="justify" vertical="center" wrapText="1"/>
    </xf>
    <xf numFmtId="0" fontId="28" fillId="0" borderId="15" xfId="0" applyFont="1" applyBorder="1" applyAlignment="1">
      <alignment horizontal="justify" vertical="center" wrapText="1"/>
    </xf>
    <xf numFmtId="0" fontId="28" fillId="0" borderId="15" xfId="0" applyFont="1" applyBorder="1" applyAlignment="1">
      <alignment horizontal="center" vertical="center" wrapText="1"/>
    </xf>
    <xf numFmtId="0" fontId="28" fillId="0" borderId="15" xfId="0" applyNumberFormat="1" applyFont="1" applyFill="1" applyBorder="1" applyAlignment="1">
      <alignment horizontal="center" vertical="center" wrapText="1"/>
    </xf>
    <xf numFmtId="0" fontId="28" fillId="0" borderId="15" xfId="0" applyNumberFormat="1" applyFont="1" applyBorder="1" applyAlignment="1">
      <alignment horizontal="center" vertical="center" wrapText="1"/>
    </xf>
    <xf numFmtId="0" fontId="28" fillId="0" borderId="49" xfId="0" applyNumberFormat="1" applyFont="1" applyBorder="1" applyAlignment="1">
      <alignment horizontal="center" vertical="center" wrapText="1"/>
    </xf>
    <xf numFmtId="0" fontId="28" fillId="0" borderId="15" xfId="0" applyNumberFormat="1" applyFont="1" applyBorder="1" applyAlignment="1" applyProtection="1">
      <alignment horizontal="center" vertical="center"/>
      <protection locked="0"/>
    </xf>
    <xf numFmtId="0" fontId="28" fillId="0" borderId="35"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4" xfId="0" applyFont="1" applyBorder="1" applyAlignment="1">
      <alignment horizontal="justify" vertical="center" wrapText="1"/>
    </xf>
    <xf numFmtId="0" fontId="34" fillId="0" borderId="47" xfId="0" applyFont="1" applyBorder="1" applyAlignment="1">
      <alignment horizontal="justify" vertical="center" wrapText="1"/>
    </xf>
    <xf numFmtId="0" fontId="34" fillId="0" borderId="47" xfId="0" applyFont="1" applyBorder="1" applyAlignment="1">
      <alignment horizontal="left" vertical="center" wrapText="1"/>
    </xf>
    <xf numFmtId="0" fontId="35" fillId="19" borderId="33" xfId="0" applyFont="1" applyFill="1" applyBorder="1" applyAlignment="1">
      <alignment horizontal="justify" vertical="center" wrapText="1"/>
    </xf>
    <xf numFmtId="0" fontId="35" fillId="19" borderId="19" xfId="0" applyFont="1" applyFill="1" applyBorder="1" applyAlignment="1">
      <alignment horizontal="left" vertical="center" wrapText="1"/>
    </xf>
    <xf numFmtId="0" fontId="35" fillId="20" borderId="33" xfId="0" applyFont="1" applyFill="1" applyBorder="1" applyAlignment="1">
      <alignment horizontal="justify" vertical="center" wrapText="1"/>
    </xf>
    <xf numFmtId="0" fontId="35" fillId="20" borderId="19" xfId="0" applyFont="1" applyFill="1" applyBorder="1" applyAlignment="1">
      <alignment horizontal="justify" vertical="center" wrapText="1"/>
    </xf>
    <xf numFmtId="0" fontId="34" fillId="19" borderId="19" xfId="0" applyFont="1" applyFill="1" applyBorder="1" applyAlignment="1">
      <alignment horizontal="justify" vertical="center" wrapText="1"/>
    </xf>
    <xf numFmtId="0" fontId="1" fillId="8" borderId="0" xfId="0" applyFont="1" applyFill="1"/>
    <xf numFmtId="0" fontId="4" fillId="0" borderId="0" xfId="0" applyFont="1" applyBorder="1" applyAlignment="1">
      <alignment horizontal="center" vertical="center"/>
    </xf>
    <xf numFmtId="0" fontId="28" fillId="19" borderId="19" xfId="0" applyFont="1" applyFill="1" applyBorder="1" applyAlignment="1">
      <alignment horizontal="right" vertical="center" wrapText="1"/>
    </xf>
    <xf numFmtId="4" fontId="28" fillId="19" borderId="19" xfId="0" applyNumberFormat="1" applyFont="1" applyFill="1" applyBorder="1" applyAlignment="1">
      <alignment horizontal="right" vertical="center" wrapText="1"/>
    </xf>
    <xf numFmtId="0" fontId="29" fillId="19" borderId="19" xfId="0" applyFont="1" applyFill="1" applyBorder="1" applyAlignment="1">
      <alignment horizontal="right" vertical="center" wrapText="1"/>
    </xf>
    <xf numFmtId="0" fontId="28" fillId="20" borderId="19" xfId="0" applyFont="1" applyFill="1" applyBorder="1" applyAlignment="1">
      <alignment horizontal="right" vertical="center" wrapText="1"/>
    </xf>
    <xf numFmtId="4" fontId="28" fillId="20" borderId="19" xfId="0" applyNumberFormat="1" applyFont="1" applyFill="1" applyBorder="1" applyAlignment="1">
      <alignment horizontal="right" vertical="center" wrapText="1"/>
    </xf>
    <xf numFmtId="2" fontId="2" fillId="8" borderId="0" xfId="0" applyNumberFormat="1" applyFont="1" applyFill="1"/>
    <xf numFmtId="3" fontId="29" fillId="0" borderId="19" xfId="0" applyNumberFormat="1" applyFont="1" applyBorder="1" applyAlignment="1">
      <alignment horizontal="right" vertical="center" wrapText="1"/>
    </xf>
    <xf numFmtId="3" fontId="29" fillId="18" borderId="19" xfId="0" applyNumberFormat="1" applyFont="1" applyFill="1" applyBorder="1" applyAlignment="1">
      <alignment horizontal="right" vertical="center" wrapText="1"/>
    </xf>
    <xf numFmtId="3" fontId="28" fillId="19" borderId="19" xfId="0" applyNumberFormat="1" applyFont="1" applyFill="1" applyBorder="1" applyAlignment="1">
      <alignment horizontal="right" vertical="center" wrapText="1"/>
    </xf>
    <xf numFmtId="3" fontId="29" fillId="19" borderId="19" xfId="0" applyNumberFormat="1" applyFont="1" applyFill="1" applyBorder="1" applyAlignment="1">
      <alignment horizontal="right" vertical="center" wrapText="1"/>
    </xf>
    <xf numFmtId="4" fontId="29" fillId="19" borderId="19" xfId="0" applyNumberFormat="1" applyFont="1" applyFill="1" applyBorder="1" applyAlignment="1">
      <alignment horizontal="right" vertical="center" wrapText="1"/>
    </xf>
    <xf numFmtId="0" fontId="34" fillId="0" borderId="19" xfId="0" applyFont="1" applyBorder="1" applyAlignment="1">
      <alignment horizontal="justify" vertical="center" wrapText="1"/>
    </xf>
    <xf numFmtId="0" fontId="34" fillId="0" borderId="33" xfId="0" applyFont="1" applyBorder="1" applyAlignment="1">
      <alignment horizontal="center" vertical="center" wrapText="1"/>
    </xf>
    <xf numFmtId="0" fontId="36" fillId="0" borderId="19" xfId="0" applyFont="1" applyBorder="1" applyAlignment="1">
      <alignment horizontal="left" vertical="center" wrapText="1"/>
    </xf>
    <xf numFmtId="2" fontId="37" fillId="8" borderId="0" xfId="0" applyNumberFormat="1" applyFont="1" applyFill="1"/>
    <xf numFmtId="4" fontId="29" fillId="18" borderId="19" xfId="0" applyNumberFormat="1" applyFont="1" applyFill="1" applyBorder="1" applyAlignment="1">
      <alignment horizontal="right" vertical="center" wrapText="1"/>
    </xf>
    <xf numFmtId="0" fontId="38" fillId="0" borderId="19" xfId="0" applyFont="1" applyBorder="1" applyAlignment="1">
      <alignment horizontal="left" vertical="center" wrapText="1"/>
    </xf>
    <xf numFmtId="0" fontId="39" fillId="0" borderId="19" xfId="0" applyNumberFormat="1" applyFont="1" applyBorder="1" applyAlignment="1">
      <alignment horizontal="center" vertical="center" wrapText="1"/>
    </xf>
    <xf numFmtId="4" fontId="27" fillId="8" borderId="0" xfId="0" applyNumberFormat="1" applyFont="1" applyFill="1" applyAlignment="1"/>
    <xf numFmtId="3" fontId="27" fillId="8" borderId="0" xfId="0" applyNumberFormat="1" applyFont="1" applyFill="1" applyAlignment="1"/>
    <xf numFmtId="4" fontId="27" fillId="8" borderId="0" xfId="0" applyNumberFormat="1" applyFont="1" applyFill="1"/>
    <xf numFmtId="16" fontId="27" fillId="8" borderId="0" xfId="0" applyNumberFormat="1" applyFont="1" applyFill="1"/>
    <xf numFmtId="0" fontId="27" fillId="8" borderId="0" xfId="0" applyFont="1" applyFill="1"/>
    <xf numFmtId="4" fontId="41" fillId="8" borderId="0" xfId="0" applyNumberFormat="1" applyFont="1" applyFill="1"/>
    <xf numFmtId="0" fontId="35" fillId="0" borderId="19" xfId="0" applyFont="1" applyBorder="1" applyAlignment="1">
      <alignment horizontal="center" vertical="center" wrapText="1"/>
    </xf>
    <xf numFmtId="4" fontId="29" fillId="8" borderId="19" xfId="0" applyNumberFormat="1" applyFont="1" applyFill="1" applyBorder="1" applyAlignment="1">
      <alignment horizontal="right" vertical="center" wrapText="1"/>
    </xf>
    <xf numFmtId="171" fontId="6" fillId="8" borderId="0" xfId="0" applyNumberFormat="1" applyFont="1" applyFill="1" applyBorder="1"/>
    <xf numFmtId="172" fontId="0" fillId="8" borderId="0" xfId="0" applyNumberFormat="1" applyFont="1" applyFill="1"/>
    <xf numFmtId="4" fontId="40" fillId="18" borderId="19" xfId="0" applyNumberFormat="1" applyFont="1" applyFill="1" applyBorder="1" applyAlignment="1">
      <alignment horizontal="right" vertical="center" wrapText="1"/>
    </xf>
    <xf numFmtId="0" fontId="43" fillId="8" borderId="0" xfId="0" applyFont="1" applyFill="1" applyBorder="1"/>
    <xf numFmtId="3" fontId="43" fillId="8" borderId="0" xfId="0" applyNumberFormat="1" applyFont="1" applyFill="1" applyBorder="1" applyAlignment="1">
      <alignment vertical="center" wrapText="1"/>
    </xf>
    <xf numFmtId="3" fontId="43" fillId="8" borderId="0" xfId="0" applyNumberFormat="1" applyFont="1" applyFill="1" applyBorder="1" applyAlignment="1"/>
    <xf numFmtId="3" fontId="43" fillId="8" borderId="0" xfId="0" applyNumberFormat="1" applyFont="1" applyFill="1" applyBorder="1" applyAlignment="1">
      <alignment horizontal="right" vertical="center" wrapText="1"/>
    </xf>
    <xf numFmtId="3" fontId="43" fillId="8" borderId="0" xfId="0" applyNumberFormat="1" applyFont="1" applyFill="1" applyBorder="1"/>
    <xf numFmtId="4" fontId="6" fillId="8" borderId="0" xfId="0" applyNumberFormat="1" applyFont="1" applyFill="1" applyBorder="1"/>
    <xf numFmtId="3" fontId="32" fillId="2" borderId="51" xfId="0" applyNumberFormat="1" applyFont="1" applyFill="1" applyBorder="1" applyAlignment="1">
      <alignment horizontal="center" vertical="center" wrapText="1"/>
    </xf>
    <xf numFmtId="0" fontId="23" fillId="2" borderId="53" xfId="0" applyFont="1" applyFill="1" applyBorder="1" applyAlignment="1">
      <alignment horizontal="center" vertical="top" wrapText="1"/>
    </xf>
    <xf numFmtId="3" fontId="18" fillId="16" borderId="53" xfId="0" applyNumberFormat="1" applyFont="1" applyFill="1" applyBorder="1" applyAlignment="1">
      <alignment vertical="top" wrapText="1"/>
    </xf>
    <xf numFmtId="9" fontId="18" fillId="16" borderId="53" xfId="7" applyFont="1" applyFill="1" applyBorder="1" applyAlignment="1">
      <alignment vertical="top" wrapText="1"/>
    </xf>
    <xf numFmtId="9" fontId="18" fillId="16" borderId="53" xfId="0" applyNumberFormat="1" applyFont="1" applyFill="1" applyBorder="1" applyAlignment="1">
      <alignment vertical="top" wrapText="1"/>
    </xf>
    <xf numFmtId="0" fontId="18" fillId="16" borderId="53" xfId="0" applyFont="1" applyFill="1" applyBorder="1" applyAlignment="1">
      <alignment vertical="top" wrapText="1"/>
    </xf>
    <xf numFmtId="4" fontId="3" fillId="2" borderId="53" xfId="0" applyNumberFormat="1" applyFont="1" applyFill="1" applyBorder="1" applyAlignment="1">
      <alignment vertical="center" wrapText="1"/>
    </xf>
    <xf numFmtId="0" fontId="48" fillId="8" borderId="0" xfId="0" applyFont="1" applyFill="1" applyBorder="1"/>
    <xf numFmtId="4" fontId="48" fillId="8" borderId="0" xfId="0" applyNumberFormat="1" applyFont="1" applyFill="1"/>
    <xf numFmtId="3" fontId="49" fillId="8" borderId="0" xfId="0" applyNumberFormat="1" applyFont="1" applyFill="1" applyBorder="1" applyAlignment="1">
      <alignment horizontal="center" vertical="center" wrapText="1"/>
    </xf>
    <xf numFmtId="3" fontId="48" fillId="8" borderId="0" xfId="0" applyNumberFormat="1" applyFont="1" applyFill="1" applyBorder="1" applyAlignment="1">
      <alignment vertical="center" wrapText="1"/>
    </xf>
    <xf numFmtId="3" fontId="48" fillId="8" borderId="0" xfId="0" applyNumberFormat="1" applyFont="1" applyFill="1" applyBorder="1" applyAlignment="1">
      <alignment horizontal="right" vertical="center" wrapText="1"/>
    </xf>
    <xf numFmtId="3" fontId="49" fillId="8" borderId="0" xfId="0" applyNumberFormat="1" applyFont="1" applyFill="1" applyBorder="1" applyAlignment="1">
      <alignment vertical="top" wrapText="1"/>
    </xf>
    <xf numFmtId="0" fontId="28" fillId="0" borderId="21" xfId="0" applyFont="1" applyBorder="1" applyAlignment="1">
      <alignment horizontal="center" vertical="center" wrapText="1"/>
    </xf>
    <xf numFmtId="4" fontId="29" fillId="0" borderId="19" xfId="0" applyNumberFormat="1" applyFont="1" applyFill="1" applyBorder="1" applyAlignment="1">
      <alignment horizontal="center" vertical="center" wrapText="1"/>
    </xf>
    <xf numFmtId="0" fontId="29" fillId="0" borderId="19" xfId="0" applyFont="1" applyFill="1" applyBorder="1" applyAlignment="1">
      <alignment horizontal="center" vertical="center" wrapText="1"/>
    </xf>
    <xf numFmtId="4" fontId="29" fillId="21" borderId="19" xfId="0" applyNumberFormat="1" applyFont="1" applyFill="1" applyBorder="1" applyAlignment="1">
      <alignment horizontal="right" vertical="center" wrapText="1"/>
    </xf>
    <xf numFmtId="4" fontId="28" fillId="21" borderId="19" xfId="0" applyNumberFormat="1" applyFont="1" applyFill="1" applyBorder="1" applyAlignment="1">
      <alignment horizontal="right" vertical="center" wrapText="1"/>
    </xf>
    <xf numFmtId="0" fontId="2" fillId="8" borderId="0" xfId="0" applyFont="1" applyFill="1" applyAlignment="1">
      <alignment horizontal="center" vertical="center" wrapText="1"/>
    </xf>
    <xf numFmtId="4" fontId="29" fillId="21" borderId="1" xfId="0" applyNumberFormat="1" applyFont="1" applyFill="1" applyBorder="1" applyAlignment="1">
      <alignment horizontal="right" vertical="center" wrapText="1"/>
    </xf>
    <xf numFmtId="3" fontId="23" fillId="2" borderId="53" xfId="0" applyNumberFormat="1" applyFont="1" applyFill="1" applyBorder="1" applyAlignment="1">
      <alignment horizontal="center" vertical="top" wrapText="1"/>
    </xf>
    <xf numFmtId="3" fontId="3" fillId="2" borderId="53" xfId="7" applyNumberFormat="1" applyFont="1" applyFill="1" applyBorder="1" applyAlignment="1">
      <alignment horizontal="center" vertical="center" wrapText="1"/>
    </xf>
    <xf numFmtId="3" fontId="23" fillId="15" borderId="53" xfId="7" applyNumberFormat="1" applyFont="1" applyFill="1" applyBorder="1" applyAlignment="1">
      <alignment horizontal="right" vertical="top" wrapText="1"/>
    </xf>
    <xf numFmtId="0" fontId="21" fillId="8" borderId="0" xfId="0" applyFont="1" applyFill="1" applyBorder="1" applyAlignment="1">
      <alignment horizontal="left" vertical="top" wrapText="1"/>
    </xf>
    <xf numFmtId="3" fontId="0" fillId="8" borderId="0" xfId="0" applyNumberFormat="1" applyFill="1" applyBorder="1" applyAlignment="1">
      <alignment horizontal="right"/>
    </xf>
    <xf numFmtId="3" fontId="22" fillId="8" borderId="0" xfId="0" applyNumberFormat="1" applyFont="1" applyFill="1" applyBorder="1" applyAlignment="1">
      <alignment horizontal="right"/>
    </xf>
    <xf numFmtId="4" fontId="29" fillId="0" borderId="19" xfId="0" applyNumberFormat="1" applyFont="1" applyFill="1" applyBorder="1" applyAlignment="1">
      <alignment horizontal="right" vertical="center" wrapText="1"/>
    </xf>
    <xf numFmtId="0" fontId="29" fillId="0" borderId="19" xfId="0" applyFont="1" applyFill="1" applyBorder="1" applyAlignment="1">
      <alignment horizontal="right" vertical="center" wrapText="1"/>
    </xf>
    <xf numFmtId="3" fontId="25" fillId="16" borderId="53" xfId="0" applyNumberFormat="1" applyFont="1" applyFill="1" applyBorder="1" applyAlignment="1">
      <alignment horizontal="left" vertical="top" wrapText="1"/>
    </xf>
    <xf numFmtId="3" fontId="18" fillId="16" borderId="53" xfId="7" applyNumberFormat="1" applyFont="1" applyFill="1" applyBorder="1" applyAlignment="1">
      <alignment horizontal="center" vertical="top" wrapText="1"/>
    </xf>
    <xf numFmtId="3" fontId="25" fillId="16" borderId="53" xfId="0" applyNumberFormat="1" applyFont="1" applyFill="1" applyBorder="1" applyAlignment="1">
      <alignment vertical="top" wrapText="1"/>
    </xf>
    <xf numFmtId="0" fontId="25" fillId="2" borderId="53" xfId="0" applyFont="1" applyFill="1" applyBorder="1" applyAlignment="1">
      <alignment horizontal="center" vertical="top" wrapText="1"/>
    </xf>
    <xf numFmtId="3" fontId="25" fillId="2" borderId="53" xfId="0" applyNumberFormat="1" applyFont="1" applyFill="1" applyBorder="1" applyAlignment="1">
      <alignment horizontal="center" vertical="top" wrapText="1"/>
    </xf>
    <xf numFmtId="3" fontId="32" fillId="2" borderId="54" xfId="0" applyNumberFormat="1" applyFont="1" applyFill="1" applyBorder="1" applyAlignment="1">
      <alignment horizontal="center" vertical="center" wrapText="1"/>
    </xf>
    <xf numFmtId="0" fontId="23" fillId="2" borderId="55" xfId="0" applyFont="1" applyFill="1" applyBorder="1" applyAlignment="1">
      <alignment horizontal="center" vertical="top" wrapText="1"/>
    </xf>
    <xf numFmtId="9" fontId="3" fillId="2" borderId="55" xfId="0" applyNumberFormat="1" applyFont="1" applyFill="1" applyBorder="1" applyAlignment="1">
      <alignment horizontal="center" vertical="center" wrapText="1"/>
    </xf>
    <xf numFmtId="9" fontId="23" fillId="15" borderId="55" xfId="0" applyNumberFormat="1" applyFont="1" applyFill="1" applyBorder="1" applyAlignment="1">
      <alignment horizontal="right" vertical="top" wrapText="1"/>
    </xf>
    <xf numFmtId="9" fontId="52" fillId="2" borderId="55" xfId="0" applyNumberFormat="1" applyFont="1" applyFill="1" applyBorder="1" applyAlignment="1">
      <alignment horizontal="center" vertical="center" wrapText="1"/>
    </xf>
    <xf numFmtId="3" fontId="51" fillId="16" borderId="52" xfId="0" applyNumberFormat="1" applyFont="1" applyFill="1" applyBorder="1" applyAlignment="1">
      <alignment horizontal="left" vertical="top" wrapText="1"/>
    </xf>
    <xf numFmtId="4" fontId="3" fillId="2" borderId="55" xfId="7" applyNumberFormat="1" applyFont="1" applyFill="1" applyBorder="1" applyAlignment="1">
      <alignment horizontal="center" vertical="center" wrapText="1"/>
    </xf>
    <xf numFmtId="3" fontId="1" fillId="8" borderId="0" xfId="0" applyNumberFormat="1" applyFont="1" applyFill="1" applyBorder="1" applyAlignment="1">
      <alignment wrapText="1"/>
    </xf>
    <xf numFmtId="3" fontId="24" fillId="8" borderId="0" xfId="0" applyNumberFormat="1" applyFont="1" applyFill="1" applyBorder="1" applyAlignment="1">
      <alignment wrapText="1"/>
    </xf>
    <xf numFmtId="3" fontId="24" fillId="8" borderId="0" xfId="0" applyNumberFormat="1" applyFont="1" applyFill="1" applyBorder="1" applyAlignment="1">
      <alignment horizontal="center" wrapText="1"/>
    </xf>
    <xf numFmtId="9" fontId="1" fillId="8" borderId="0" xfId="7" applyFont="1" applyFill="1" applyBorder="1" applyAlignment="1">
      <alignment wrapText="1"/>
    </xf>
    <xf numFmtId="3" fontId="23" fillId="8" borderId="0" xfId="0" applyNumberFormat="1" applyFont="1" applyFill="1" applyBorder="1" applyAlignment="1">
      <alignment wrapText="1"/>
    </xf>
    <xf numFmtId="0" fontId="47" fillId="8" borderId="0" xfId="0" applyFont="1" applyFill="1" applyBorder="1" applyAlignment="1">
      <alignment vertical="top" wrapText="1"/>
    </xf>
    <xf numFmtId="3" fontId="18" fillId="16" borderId="57" xfId="0" applyNumberFormat="1" applyFont="1" applyFill="1" applyBorder="1" applyAlignment="1">
      <alignment vertical="top" wrapText="1"/>
    </xf>
    <xf numFmtId="9" fontId="18" fillId="16" borderId="57" xfId="0" applyNumberFormat="1" applyFont="1" applyFill="1" applyBorder="1" applyAlignment="1">
      <alignment vertical="top" wrapText="1"/>
    </xf>
    <xf numFmtId="9" fontId="3" fillId="2" borderId="58" xfId="0" applyNumberFormat="1" applyFont="1" applyFill="1" applyBorder="1" applyAlignment="1">
      <alignment horizontal="center" vertical="center" wrapText="1"/>
    </xf>
    <xf numFmtId="3" fontId="23" fillId="15" borderId="1" xfId="7" applyNumberFormat="1" applyFont="1" applyFill="1" applyBorder="1" applyAlignment="1">
      <alignment horizontal="right" vertical="top" wrapText="1"/>
    </xf>
    <xf numFmtId="9" fontId="23" fillId="15" borderId="1" xfId="0" applyNumberFormat="1" applyFont="1" applyFill="1" applyBorder="1" applyAlignment="1">
      <alignment horizontal="right" vertical="top" wrapText="1"/>
    </xf>
    <xf numFmtId="4" fontId="3" fillId="8" borderId="1" xfId="11" applyNumberFormat="1" applyFont="1" applyFill="1" applyBorder="1" applyAlignment="1">
      <alignment wrapText="1"/>
    </xf>
    <xf numFmtId="3" fontId="1" fillId="8" borderId="0" xfId="11" applyNumberFormat="1" applyFont="1" applyFill="1" applyAlignment="1">
      <alignment wrapText="1"/>
    </xf>
    <xf numFmtId="3" fontId="18" fillId="16" borderId="53" xfId="0" applyNumberFormat="1" applyFont="1" applyFill="1" applyBorder="1" applyAlignment="1">
      <alignment horizontal="center" vertical="top" wrapText="1"/>
    </xf>
    <xf numFmtId="3" fontId="51" fillId="16" borderId="52" xfId="0" applyNumberFormat="1" applyFont="1" applyFill="1" applyBorder="1" applyAlignment="1">
      <alignment vertical="top" wrapText="1"/>
    </xf>
    <xf numFmtId="9" fontId="51" fillId="16" borderId="53" xfId="7" applyFont="1" applyFill="1" applyBorder="1" applyAlignment="1">
      <alignment vertical="top" wrapText="1"/>
    </xf>
    <xf numFmtId="3" fontId="18" fillId="15" borderId="53" xfId="0" applyNumberFormat="1" applyFont="1" applyFill="1" applyBorder="1" applyAlignment="1">
      <alignment horizontal="center" vertical="top" wrapText="1"/>
    </xf>
    <xf numFmtId="4" fontId="18" fillId="15" borderId="53" xfId="0" applyNumberFormat="1" applyFont="1" applyFill="1" applyBorder="1" applyAlignment="1">
      <alignment horizontal="center" vertical="top" wrapText="1"/>
    </xf>
    <xf numFmtId="3" fontId="18" fillId="15" borderId="1" xfId="0" applyNumberFormat="1" applyFont="1" applyFill="1" applyBorder="1" applyAlignment="1">
      <alignment horizontal="center" vertical="top" wrapText="1"/>
    </xf>
    <xf numFmtId="3" fontId="25" fillId="15" borderId="53" xfId="0" applyNumberFormat="1" applyFont="1" applyFill="1" applyBorder="1" applyAlignment="1">
      <alignment horizontal="left" vertical="top" wrapText="1"/>
    </xf>
    <xf numFmtId="3" fontId="25" fillId="15" borderId="1" xfId="0" applyNumberFormat="1" applyFont="1" applyFill="1" applyBorder="1" applyAlignment="1">
      <alignment horizontal="left" vertical="top" wrapText="1"/>
    </xf>
    <xf numFmtId="4" fontId="28" fillId="0" borderId="0" xfId="0" applyNumberFormat="1" applyFont="1" applyFill="1" applyAlignment="1">
      <alignment horizontal="center" vertical="center" wrapText="1"/>
    </xf>
    <xf numFmtId="0" fontId="47" fillId="0" borderId="0" xfId="0" applyNumberFormat="1" applyFont="1" applyBorder="1" applyAlignment="1">
      <alignment vertical="top"/>
    </xf>
    <xf numFmtId="4" fontId="23" fillId="15" borderId="53" xfId="0" applyNumberFormat="1" applyFont="1" applyFill="1" applyBorder="1" applyAlignment="1">
      <alignment vertical="top" wrapText="1"/>
    </xf>
    <xf numFmtId="4" fontId="23" fillId="15" borderId="53" xfId="7" applyNumberFormat="1" applyFont="1" applyFill="1" applyBorder="1" applyAlignment="1">
      <alignment vertical="top" wrapText="1"/>
    </xf>
    <xf numFmtId="4" fontId="3" fillId="2" borderId="53" xfId="7" applyNumberFormat="1" applyFont="1" applyFill="1" applyBorder="1" applyAlignment="1">
      <alignment vertical="center" wrapText="1"/>
    </xf>
    <xf numFmtId="4" fontId="3" fillId="2" borderId="57" xfId="7" applyNumberFormat="1" applyFont="1" applyFill="1" applyBorder="1" applyAlignment="1">
      <alignment vertical="center" wrapText="1"/>
    </xf>
    <xf numFmtId="4" fontId="3" fillId="2" borderId="57" xfId="0" applyNumberFormat="1" applyFont="1" applyFill="1" applyBorder="1" applyAlignment="1">
      <alignment vertical="center" wrapText="1"/>
    </xf>
    <xf numFmtId="4" fontId="23" fillId="15" borderId="1" xfId="7" applyNumberFormat="1" applyFont="1" applyFill="1" applyBorder="1" applyAlignment="1">
      <alignment vertical="top" wrapText="1"/>
    </xf>
    <xf numFmtId="3" fontId="39" fillId="2" borderId="50" xfId="0" applyNumberFormat="1" applyFont="1" applyFill="1" applyBorder="1" applyAlignment="1">
      <alignment horizontal="center" vertical="center" wrapText="1"/>
    </xf>
    <xf numFmtId="3" fontId="39" fillId="2" borderId="51" xfId="0" applyNumberFormat="1" applyFont="1" applyFill="1" applyBorder="1" applyAlignment="1">
      <alignment horizontal="center" vertical="center" wrapText="1"/>
    </xf>
    <xf numFmtId="3" fontId="55" fillId="2" borderId="51" xfId="0" applyNumberFormat="1" applyFont="1" applyFill="1" applyBorder="1" applyAlignment="1">
      <alignment horizontal="center" vertical="center" wrapText="1"/>
    </xf>
    <xf numFmtId="0" fontId="25" fillId="2" borderId="52" xfId="0" applyFont="1" applyFill="1" applyBorder="1" applyAlignment="1">
      <alignment horizontal="center" vertical="top" wrapText="1"/>
    </xf>
    <xf numFmtId="3" fontId="51" fillId="15" borderId="52" xfId="0" applyNumberFormat="1" applyFont="1" applyFill="1" applyBorder="1" applyAlignment="1">
      <alignment horizontal="left" vertical="top" wrapText="1"/>
    </xf>
    <xf numFmtId="3" fontId="18" fillId="15" borderId="53" xfId="0" applyNumberFormat="1" applyFont="1" applyFill="1" applyBorder="1" applyAlignment="1">
      <alignment vertical="top" wrapText="1"/>
    </xf>
    <xf numFmtId="3" fontId="25" fillId="15" borderId="53" xfId="0" applyNumberFormat="1" applyFont="1" applyFill="1" applyBorder="1" applyAlignment="1">
      <alignment vertical="top" wrapText="1"/>
    </xf>
    <xf numFmtId="3" fontId="51" fillId="15" borderId="53" xfId="0" applyNumberFormat="1" applyFont="1" applyFill="1" applyBorder="1" applyAlignment="1">
      <alignment horizontal="left" vertical="top" wrapText="1"/>
    </xf>
    <xf numFmtId="3" fontId="18" fillId="16" borderId="53" xfId="0" applyNumberFormat="1" applyFont="1" applyFill="1" applyBorder="1" applyAlignment="1">
      <alignment horizontal="left" vertical="top" wrapText="1"/>
    </xf>
    <xf numFmtId="3" fontId="25" fillId="15" borderId="53" xfId="0" applyNumberFormat="1" applyFont="1" applyFill="1" applyBorder="1" applyAlignment="1">
      <alignment horizontal="right" vertical="top" wrapText="1"/>
    </xf>
    <xf numFmtId="3" fontId="51" fillId="16" borderId="56" xfId="0" applyNumberFormat="1" applyFont="1" applyFill="1" applyBorder="1" applyAlignment="1">
      <alignment vertical="top" wrapText="1"/>
    </xf>
    <xf numFmtId="3" fontId="25" fillId="16" borderId="57" xfId="0" applyNumberFormat="1" applyFont="1" applyFill="1" applyBorder="1" applyAlignment="1">
      <alignment horizontal="left" vertical="top" wrapText="1"/>
    </xf>
    <xf numFmtId="3" fontId="18" fillId="16" borderId="57" xfId="0" applyNumberFormat="1" applyFont="1" applyFill="1" applyBorder="1" applyAlignment="1">
      <alignment horizontal="center" vertical="top" wrapText="1"/>
    </xf>
    <xf numFmtId="3" fontId="51" fillId="15" borderId="1" xfId="0" applyNumberFormat="1" applyFont="1" applyFill="1" applyBorder="1" applyAlignment="1">
      <alignment horizontal="left" vertical="top" wrapText="1"/>
    </xf>
    <xf numFmtId="3" fontId="18" fillId="15" borderId="1" xfId="0" applyNumberFormat="1" applyFont="1" applyFill="1" applyBorder="1" applyAlignment="1">
      <alignment vertical="top" wrapText="1"/>
    </xf>
    <xf numFmtId="3" fontId="25" fillId="15" borderId="1" xfId="0" applyNumberFormat="1" applyFont="1" applyFill="1" applyBorder="1" applyAlignment="1">
      <alignment vertical="top" wrapText="1"/>
    </xf>
    <xf numFmtId="0" fontId="2" fillId="8" borderId="0" xfId="0" applyFont="1" applyFill="1" applyBorder="1"/>
    <xf numFmtId="4" fontId="44" fillId="8" borderId="0" xfId="0" applyNumberFormat="1" applyFont="1" applyFill="1" applyBorder="1"/>
    <xf numFmtId="1" fontId="2" fillId="8" borderId="0" xfId="0" applyNumberFormat="1" applyFont="1" applyFill="1" applyBorder="1"/>
    <xf numFmtId="0" fontId="14" fillId="8" borderId="0" xfId="0" applyFont="1" applyFill="1" applyBorder="1"/>
    <xf numFmtId="4" fontId="42" fillId="8" borderId="0" xfId="0" applyNumberFormat="1" applyFont="1" applyFill="1" applyBorder="1"/>
    <xf numFmtId="0" fontId="15" fillId="8" borderId="0" xfId="0" applyFont="1" applyFill="1" applyBorder="1"/>
    <xf numFmtId="0" fontId="13" fillId="8" borderId="0" xfId="0" applyFont="1" applyFill="1" applyBorder="1"/>
    <xf numFmtId="0" fontId="12" fillId="8" borderId="0" xfId="0" applyFont="1" applyFill="1" applyBorder="1"/>
    <xf numFmtId="4" fontId="54" fillId="0" borderId="53" xfId="7" applyNumberFormat="1" applyFont="1" applyFill="1" applyBorder="1" applyAlignment="1">
      <alignment vertical="center" wrapText="1"/>
    </xf>
    <xf numFmtId="4" fontId="54" fillId="0" borderId="57" xfId="7" applyNumberFormat="1" applyFont="1" applyFill="1" applyBorder="1" applyAlignment="1">
      <alignment vertical="center" wrapText="1"/>
    </xf>
    <xf numFmtId="4" fontId="48" fillId="8" borderId="0" xfId="0" applyNumberFormat="1" applyFont="1" applyFill="1" applyBorder="1"/>
    <xf numFmtId="0" fontId="26" fillId="8" borderId="0" xfId="0" applyFont="1" applyFill="1" applyBorder="1" applyAlignment="1">
      <alignment vertical="center" wrapText="1"/>
    </xf>
    <xf numFmtId="0" fontId="20" fillId="8" borderId="0" xfId="0" applyFont="1" applyFill="1" applyBorder="1" applyAlignment="1">
      <alignment vertical="center" wrapText="1"/>
    </xf>
    <xf numFmtId="0" fontId="20" fillId="8" borderId="0" xfId="0" applyFont="1" applyFill="1" applyBorder="1" applyAlignment="1">
      <alignment horizontal="justify" vertical="center" wrapText="1"/>
    </xf>
    <xf numFmtId="0" fontId="20" fillId="8" borderId="0" xfId="0" applyFont="1" applyFill="1" applyBorder="1" applyAlignment="1">
      <alignment horizontal="center" vertical="center" wrapText="1"/>
    </xf>
    <xf numFmtId="0" fontId="2" fillId="8" borderId="0" xfId="0" applyFont="1" applyFill="1" applyBorder="1" applyAlignment="1">
      <alignment horizontal="justify" vertical="center" wrapText="1"/>
    </xf>
    <xf numFmtId="0" fontId="2" fillId="8" borderId="0" xfId="0" applyFont="1" applyFill="1" applyBorder="1" applyAlignment="1">
      <alignment horizontal="center" vertical="center" wrapText="1"/>
    </xf>
    <xf numFmtId="4" fontId="14" fillId="8" borderId="0" xfId="0" applyNumberFormat="1" applyFont="1" applyFill="1" applyBorder="1"/>
    <xf numFmtId="0" fontId="45" fillId="8" borderId="0" xfId="0" applyFont="1" applyFill="1" applyBorder="1" applyAlignment="1">
      <alignment vertical="center" wrapText="1"/>
    </xf>
    <xf numFmtId="0" fontId="46" fillId="8" borderId="0" xfId="0" applyFont="1" applyFill="1" applyBorder="1" applyAlignment="1">
      <alignment vertical="top" wrapText="1"/>
    </xf>
    <xf numFmtId="0" fontId="24" fillId="8" borderId="0" xfId="0" applyFont="1" applyFill="1" applyBorder="1" applyAlignment="1">
      <alignment vertical="top" wrapText="1"/>
    </xf>
    <xf numFmtId="0" fontId="1" fillId="8" borderId="0" xfId="0" applyFont="1" applyFill="1" applyBorder="1" applyAlignment="1">
      <alignment vertical="top" wrapText="1"/>
    </xf>
    <xf numFmtId="0" fontId="53" fillId="8" borderId="0" xfId="0" applyFont="1" applyFill="1" applyBorder="1" applyAlignment="1">
      <alignment vertical="top" wrapText="1"/>
    </xf>
    <xf numFmtId="4" fontId="54" fillId="8" borderId="0" xfId="7" applyNumberFormat="1" applyFont="1" applyFill="1" applyBorder="1" applyAlignment="1">
      <alignment vertical="center" wrapText="1"/>
    </xf>
    <xf numFmtId="4" fontId="54" fillId="0" borderId="59" xfId="7" applyNumberFormat="1" applyFont="1" applyFill="1" applyBorder="1" applyAlignment="1">
      <alignment vertical="center" wrapText="1"/>
    </xf>
    <xf numFmtId="3" fontId="32" fillId="2" borderId="53" xfId="0" applyNumberFormat="1" applyFont="1" applyFill="1" applyBorder="1" applyAlignment="1">
      <alignment horizontal="center" vertical="center" wrapText="1"/>
    </xf>
    <xf numFmtId="0" fontId="56" fillId="8" borderId="0" xfId="0" applyFont="1" applyFill="1" applyBorder="1" applyAlignment="1">
      <alignment vertical="top" wrapText="1"/>
    </xf>
    <xf numFmtId="3" fontId="24" fillId="15" borderId="53" xfId="0" applyNumberFormat="1" applyFont="1" applyFill="1" applyBorder="1" applyAlignment="1">
      <alignment horizontal="center" vertical="top" wrapText="1"/>
    </xf>
    <xf numFmtId="3" fontId="57" fillId="16" borderId="53" xfId="0" applyNumberFormat="1" applyFont="1" applyFill="1" applyBorder="1" applyAlignment="1">
      <alignment vertical="top" wrapText="1"/>
    </xf>
    <xf numFmtId="3" fontId="24" fillId="16" borderId="53" xfId="0" applyNumberFormat="1" applyFont="1" applyFill="1" applyBorder="1" applyAlignment="1">
      <alignment vertical="top" wrapText="1"/>
    </xf>
    <xf numFmtId="3" fontId="57" fillId="15" borderId="53" xfId="0" applyNumberFormat="1" applyFont="1" applyFill="1" applyBorder="1" applyAlignment="1">
      <alignment horizontal="left" vertical="top" wrapText="1"/>
    </xf>
    <xf numFmtId="3" fontId="50" fillId="16" borderId="52" xfId="0" applyNumberFormat="1" applyFont="1" applyFill="1" applyBorder="1" applyAlignment="1">
      <alignment horizontal="left" vertical="top" wrapText="1"/>
    </xf>
    <xf numFmtId="9" fontId="24" fillId="16" borderId="53" xfId="0" applyNumberFormat="1" applyFont="1" applyFill="1" applyBorder="1" applyAlignment="1">
      <alignment vertical="top" wrapText="1"/>
    </xf>
    <xf numFmtId="4" fontId="50" fillId="0" borderId="53" xfId="7" applyNumberFormat="1" applyFont="1" applyFill="1" applyBorder="1" applyAlignment="1">
      <alignment vertical="center" wrapText="1"/>
    </xf>
    <xf numFmtId="4" fontId="51" fillId="2" borderId="53" xfId="7" applyNumberFormat="1" applyFont="1" applyFill="1" applyBorder="1" applyAlignment="1">
      <alignment vertical="center" wrapText="1"/>
    </xf>
    <xf numFmtId="4" fontId="1" fillId="8" borderId="1" xfId="11" applyNumberFormat="1" applyFont="1" applyFill="1" applyBorder="1" applyAlignment="1">
      <alignment vertical="center" wrapText="1"/>
    </xf>
    <xf numFmtId="4" fontId="18" fillId="8" borderId="1" xfId="0" applyNumberFormat="1" applyFont="1" applyFill="1" applyBorder="1" applyAlignment="1">
      <alignment vertical="center" wrapText="1"/>
    </xf>
    <xf numFmtId="3" fontId="18" fillId="8" borderId="0" xfId="11" applyNumberFormat="1" applyFont="1" applyFill="1" applyAlignment="1">
      <alignment wrapText="1"/>
    </xf>
    <xf numFmtId="0" fontId="18" fillId="8" borderId="0" xfId="0" applyFont="1" applyFill="1" applyBorder="1" applyAlignment="1">
      <alignment vertical="top" wrapText="1"/>
    </xf>
    <xf numFmtId="3" fontId="18" fillId="8" borderId="0" xfId="0" applyNumberFormat="1" applyFont="1" applyFill="1" applyBorder="1" applyAlignment="1">
      <alignment wrapText="1"/>
    </xf>
    <xf numFmtId="4" fontId="51" fillId="8" borderId="0" xfId="7" applyNumberFormat="1" applyFont="1" applyFill="1" applyBorder="1" applyAlignment="1">
      <alignment vertical="center" wrapText="1"/>
    </xf>
    <xf numFmtId="3" fontId="18" fillId="8" borderId="60" xfId="11" applyNumberFormat="1" applyFont="1" applyFill="1" applyBorder="1" applyAlignment="1">
      <alignment horizontal="right" wrapText="1"/>
    </xf>
    <xf numFmtId="4" fontId="18" fillId="8" borderId="61" xfId="0" applyNumberFormat="1" applyFont="1" applyFill="1" applyBorder="1" applyAlignment="1">
      <alignment wrapText="1"/>
    </xf>
    <xf numFmtId="4" fontId="18" fillId="8" borderId="62" xfId="0" applyNumberFormat="1" applyFont="1" applyFill="1" applyBorder="1" applyAlignment="1">
      <alignment wrapText="1"/>
    </xf>
    <xf numFmtId="3" fontId="18" fillId="8" borderId="63" xfId="11" applyNumberFormat="1" applyFont="1" applyFill="1" applyBorder="1" applyAlignment="1">
      <alignment horizontal="right" wrapText="1"/>
    </xf>
    <xf numFmtId="4" fontId="18" fillId="8" borderId="1" xfId="0" applyNumberFormat="1" applyFont="1" applyFill="1" applyBorder="1" applyAlignment="1">
      <alignment wrapText="1"/>
    </xf>
    <xf numFmtId="4" fontId="18" fillId="8" borderId="64" xfId="0" applyNumberFormat="1" applyFont="1" applyFill="1" applyBorder="1" applyAlignment="1">
      <alignment wrapText="1"/>
    </xf>
    <xf numFmtId="4" fontId="18" fillId="8" borderId="1" xfId="11" applyNumberFormat="1" applyFont="1" applyFill="1" applyBorder="1" applyAlignment="1">
      <alignment wrapText="1"/>
    </xf>
    <xf numFmtId="4" fontId="18" fillId="8" borderId="64" xfId="11" applyNumberFormat="1" applyFont="1" applyFill="1" applyBorder="1" applyAlignment="1">
      <alignment wrapText="1"/>
    </xf>
    <xf numFmtId="3" fontId="51" fillId="8" borderId="65" xfId="11" applyNumberFormat="1" applyFont="1" applyFill="1" applyBorder="1" applyAlignment="1">
      <alignment wrapText="1"/>
    </xf>
    <xf numFmtId="4" fontId="51" fillId="8" borderId="66" xfId="11" applyNumberFormat="1" applyFont="1" applyFill="1" applyBorder="1" applyAlignment="1">
      <alignment wrapText="1"/>
    </xf>
    <xf numFmtId="4" fontId="51" fillId="8" borderId="67" xfId="11" applyNumberFormat="1" applyFont="1" applyFill="1" applyBorder="1" applyAlignment="1">
      <alignment wrapText="1"/>
    </xf>
    <xf numFmtId="3" fontId="18" fillId="8" borderId="0" xfId="0" applyNumberFormat="1" applyFont="1" applyFill="1" applyAlignment="1">
      <alignment wrapText="1"/>
    </xf>
    <xf numFmtId="3" fontId="18" fillId="8" borderId="1" xfId="11" applyNumberFormat="1" applyFont="1" applyFill="1" applyBorder="1" applyAlignment="1">
      <alignment wrapText="1"/>
    </xf>
    <xf numFmtId="3" fontId="51" fillId="8" borderId="1" xfId="11" applyNumberFormat="1" applyFont="1" applyFill="1" applyBorder="1" applyAlignment="1">
      <alignment wrapText="1"/>
    </xf>
    <xf numFmtId="4" fontId="51" fillId="8" borderId="1" xfId="11" applyNumberFormat="1" applyFont="1" applyFill="1" applyBorder="1" applyAlignment="1">
      <alignment wrapText="1"/>
    </xf>
    <xf numFmtId="3" fontId="18" fillId="0" borderId="0" xfId="0" applyNumberFormat="1" applyFont="1" applyFill="1" applyBorder="1" applyAlignment="1">
      <alignment wrapText="1"/>
    </xf>
    <xf numFmtId="0" fontId="51" fillId="8" borderId="0" xfId="0" applyFont="1" applyFill="1" applyBorder="1" applyAlignment="1">
      <alignment horizontal="center" vertical="top" wrapText="1"/>
    </xf>
    <xf numFmtId="4" fontId="2" fillId="8" borderId="0" xfId="0" applyNumberFormat="1" applyFont="1" applyFill="1"/>
    <xf numFmtId="0" fontId="58" fillId="8" borderId="0" xfId="0" applyFont="1" applyFill="1"/>
    <xf numFmtId="3" fontId="51" fillId="2" borderId="53" xfId="7" applyNumberFormat="1" applyFont="1" applyFill="1" applyBorder="1" applyAlignment="1">
      <alignment horizontal="center" vertical="center" wrapText="1"/>
    </xf>
    <xf numFmtId="4" fontId="51" fillId="2" borderId="53" xfId="0" applyNumberFormat="1" applyFont="1" applyFill="1" applyBorder="1" applyAlignment="1">
      <alignment vertical="center" wrapText="1"/>
    </xf>
    <xf numFmtId="9" fontId="51" fillId="2" borderId="55" xfId="0" applyNumberFormat="1" applyFont="1" applyFill="1" applyBorder="1" applyAlignment="1">
      <alignment horizontal="center" vertical="center" wrapText="1"/>
    </xf>
    <xf numFmtId="4" fontId="25" fillId="15" borderId="53" xfId="7" applyNumberFormat="1" applyFont="1" applyFill="1" applyBorder="1" applyAlignment="1">
      <alignment vertical="top" wrapText="1"/>
    </xf>
    <xf numFmtId="4" fontId="25" fillId="15" borderId="53" xfId="0" applyNumberFormat="1" applyFont="1" applyFill="1" applyBorder="1" applyAlignment="1">
      <alignment vertical="top" wrapText="1"/>
    </xf>
    <xf numFmtId="9" fontId="25" fillId="15" borderId="55" xfId="0" applyNumberFormat="1" applyFont="1" applyFill="1" applyBorder="1" applyAlignment="1">
      <alignment horizontal="right" vertical="top" wrapText="1"/>
    </xf>
    <xf numFmtId="4" fontId="51" fillId="0" borderId="53" xfId="7" applyNumberFormat="1" applyFont="1" applyFill="1" applyBorder="1" applyAlignment="1">
      <alignment vertical="center" wrapText="1"/>
    </xf>
    <xf numFmtId="0" fontId="24" fillId="16" borderId="53" xfId="0" applyFont="1" applyFill="1" applyBorder="1" applyAlignment="1">
      <alignment vertical="top" wrapText="1"/>
    </xf>
    <xf numFmtId="3" fontId="50" fillId="2" borderId="53" xfId="7" applyNumberFormat="1" applyFont="1" applyFill="1" applyBorder="1" applyAlignment="1">
      <alignment horizontal="center" vertical="center" wrapText="1"/>
    </xf>
    <xf numFmtId="3" fontId="1" fillId="8" borderId="1" xfId="11" applyNumberFormat="1" applyFont="1" applyFill="1" applyBorder="1" applyAlignment="1">
      <alignment wrapText="1"/>
    </xf>
    <xf numFmtId="4" fontId="19" fillId="10" borderId="1" xfId="0" applyNumberFormat="1" applyFont="1" applyFill="1" applyBorder="1" applyAlignment="1">
      <alignment vertical="distributed"/>
    </xf>
    <xf numFmtId="4" fontId="20" fillId="17" borderId="1" xfId="0" applyNumberFormat="1" applyFont="1" applyFill="1" applyBorder="1" applyAlignment="1">
      <alignment vertical="distributed"/>
    </xf>
    <xf numFmtId="4" fontId="24" fillId="16" borderId="53" xfId="7" applyNumberFormat="1" applyFont="1" applyFill="1" applyBorder="1" applyAlignment="1">
      <alignment horizontal="center" vertical="top" wrapText="1"/>
    </xf>
    <xf numFmtId="3" fontId="25" fillId="16" borderId="53" xfId="0" applyNumberFormat="1" applyFont="1" applyFill="1" applyBorder="1" applyAlignment="1">
      <alignment horizontal="center" vertical="top" wrapText="1"/>
    </xf>
    <xf numFmtId="3" fontId="24" fillId="16" borderId="53" xfId="0" applyNumberFormat="1" applyFont="1" applyFill="1" applyBorder="1" applyAlignment="1">
      <alignment horizontal="center" vertical="top" wrapText="1"/>
    </xf>
    <xf numFmtId="3" fontId="57" fillId="16" borderId="53" xfId="0" applyNumberFormat="1" applyFont="1" applyFill="1" applyBorder="1" applyAlignment="1">
      <alignment horizontal="center" vertical="top" wrapText="1"/>
    </xf>
    <xf numFmtId="4" fontId="50" fillId="2" borderId="53" xfId="0" applyNumberFormat="1" applyFont="1" applyFill="1" applyBorder="1" applyAlignment="1">
      <alignment vertical="center" wrapText="1"/>
    </xf>
    <xf numFmtId="3" fontId="3" fillId="0" borderId="60" xfId="11" applyNumberFormat="1" applyFont="1" applyBorder="1" applyAlignment="1">
      <alignment horizontal="justify" vertical="center" wrapText="1"/>
    </xf>
    <xf numFmtId="3" fontId="32" fillId="15" borderId="61" xfId="11" applyNumberFormat="1" applyFont="1" applyFill="1" applyBorder="1" applyAlignment="1">
      <alignment horizontal="center" vertical="center" wrapText="1"/>
    </xf>
    <xf numFmtId="3" fontId="32" fillId="15" borderId="62" xfId="11" applyNumberFormat="1" applyFont="1" applyFill="1" applyBorder="1" applyAlignment="1">
      <alignment horizontal="center" vertical="center" wrapText="1"/>
    </xf>
    <xf numFmtId="3" fontId="1" fillId="8" borderId="63" xfId="11" applyNumberFormat="1" applyFont="1" applyFill="1" applyBorder="1" applyAlignment="1">
      <alignment vertical="center" wrapText="1"/>
    </xf>
    <xf numFmtId="4" fontId="1" fillId="8" borderId="64" xfId="11" applyNumberFormat="1" applyFont="1" applyFill="1" applyBorder="1" applyAlignment="1">
      <alignment vertical="center" wrapText="1"/>
    </xf>
    <xf numFmtId="4" fontId="18" fillId="8" borderId="64" xfId="0" applyNumberFormat="1" applyFont="1" applyFill="1" applyBorder="1" applyAlignment="1">
      <alignment vertical="center" wrapText="1"/>
    </xf>
    <xf numFmtId="3" fontId="3" fillId="8" borderId="65" xfId="11" applyNumberFormat="1" applyFont="1" applyFill="1" applyBorder="1" applyAlignment="1">
      <alignment vertical="center" wrapText="1"/>
    </xf>
    <xf numFmtId="4" fontId="3" fillId="8" borderId="66" xfId="11" applyNumberFormat="1" applyFont="1" applyFill="1" applyBorder="1" applyAlignment="1">
      <alignment vertical="center" wrapText="1"/>
    </xf>
    <xf numFmtId="4" fontId="3" fillId="8" borderId="67" xfId="11" applyNumberFormat="1" applyFont="1" applyFill="1" applyBorder="1" applyAlignment="1">
      <alignment vertical="center" wrapText="1"/>
    </xf>
    <xf numFmtId="4" fontId="18" fillId="8" borderId="0" xfId="0" applyNumberFormat="1" applyFont="1" applyFill="1" applyBorder="1" applyAlignment="1">
      <alignment wrapText="1"/>
    </xf>
    <xf numFmtId="3" fontId="18" fillId="8" borderId="0" xfId="0" applyNumberFormat="1" applyFont="1" applyFill="1" applyBorder="1" applyAlignment="1">
      <alignment horizontal="center" wrapText="1"/>
    </xf>
    <xf numFmtId="9" fontId="18" fillId="8" borderId="0" xfId="7" applyFont="1" applyFill="1" applyBorder="1" applyAlignment="1">
      <alignment wrapText="1"/>
    </xf>
    <xf numFmtId="3" fontId="25" fillId="8" borderId="0" xfId="0" applyNumberFormat="1" applyFont="1" applyFill="1" applyBorder="1" applyAlignment="1">
      <alignment wrapText="1"/>
    </xf>
    <xf numFmtId="3" fontId="51" fillId="8" borderId="0" xfId="0" applyNumberFormat="1" applyFont="1" applyFill="1" applyBorder="1" applyAlignment="1">
      <alignment wrapText="1"/>
    </xf>
    <xf numFmtId="3" fontId="59" fillId="8" borderId="0" xfId="0" applyNumberFormat="1" applyFont="1" applyFill="1" applyBorder="1" applyAlignment="1">
      <alignment vertical="top" wrapText="1"/>
    </xf>
    <xf numFmtId="3" fontId="18" fillId="8" borderId="0" xfId="0" applyNumberFormat="1" applyFont="1" applyFill="1" applyBorder="1" applyAlignment="1">
      <alignment horizontal="right" wrapText="1"/>
    </xf>
    <xf numFmtId="3" fontId="59" fillId="8" borderId="0" xfId="0" applyNumberFormat="1" applyFont="1" applyFill="1" applyBorder="1" applyAlignment="1">
      <alignment horizontal="right" wrapText="1"/>
    </xf>
    <xf numFmtId="10" fontId="18" fillId="8" borderId="0" xfId="0" applyNumberFormat="1" applyFont="1" applyFill="1" applyBorder="1" applyAlignment="1">
      <alignment vertical="center" wrapText="1"/>
    </xf>
    <xf numFmtId="10" fontId="18" fillId="8" borderId="0" xfId="0" applyNumberFormat="1" applyFont="1" applyFill="1" applyBorder="1" applyAlignment="1">
      <alignment wrapText="1"/>
    </xf>
    <xf numFmtId="3" fontId="18" fillId="8" borderId="0" xfId="0" applyNumberFormat="1" applyFont="1" applyFill="1" applyAlignment="1">
      <alignment horizontal="center" wrapText="1"/>
    </xf>
    <xf numFmtId="9" fontId="18" fillId="8" borderId="0" xfId="7" applyFont="1" applyFill="1" applyAlignment="1">
      <alignment wrapText="1"/>
    </xf>
    <xf numFmtId="3" fontId="25" fillId="8" borderId="0" xfId="0" applyNumberFormat="1" applyFont="1" applyFill="1" applyAlignment="1">
      <alignment wrapText="1"/>
    </xf>
    <xf numFmtId="3" fontId="18" fillId="0" borderId="0" xfId="0" applyNumberFormat="1" applyFont="1" applyFill="1" applyBorder="1" applyAlignment="1">
      <alignment horizontal="center" wrapText="1"/>
    </xf>
    <xf numFmtId="9" fontId="18" fillId="0" borderId="0" xfId="7" applyFont="1" applyFill="1" applyBorder="1" applyAlignment="1">
      <alignment wrapText="1"/>
    </xf>
    <xf numFmtId="3" fontId="25" fillId="0" borderId="0" xfId="0" applyNumberFormat="1" applyFont="1" applyFill="1" applyBorder="1" applyAlignment="1">
      <alignment wrapText="1"/>
    </xf>
    <xf numFmtId="3" fontId="18" fillId="8" borderId="62" xfId="11" applyNumberFormat="1" applyFont="1" applyFill="1" applyBorder="1" applyAlignment="1">
      <alignment wrapText="1"/>
    </xf>
    <xf numFmtId="3" fontId="18" fillId="8" borderId="65" xfId="11" applyNumberFormat="1" applyFont="1" applyFill="1" applyBorder="1" applyAlignment="1">
      <alignment horizontal="right" wrapText="1"/>
    </xf>
    <xf numFmtId="3" fontId="18" fillId="8" borderId="67" xfId="11" applyNumberFormat="1" applyFont="1" applyFill="1" applyBorder="1" applyAlignment="1">
      <alignment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38" xfId="0" applyFont="1" applyBorder="1" applyAlignment="1">
      <alignment horizontal="center" vertical="center"/>
    </xf>
    <xf numFmtId="0" fontId="2" fillId="21" borderId="0" xfId="0" applyFont="1" applyFill="1" applyAlignment="1">
      <alignment horizontal="center" vertical="top" wrapText="1"/>
    </xf>
    <xf numFmtId="0" fontId="28" fillId="0" borderId="13" xfId="0" applyFont="1" applyBorder="1" applyAlignment="1">
      <alignment horizontal="justify" vertical="center" wrapText="1"/>
    </xf>
    <xf numFmtId="0" fontId="28" fillId="0" borderId="38" xfId="0" applyFont="1" applyBorder="1" applyAlignment="1">
      <alignment horizontal="justify" vertical="center" wrapText="1"/>
    </xf>
    <xf numFmtId="0" fontId="28" fillId="0" borderId="35"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5" xfId="0" applyFont="1" applyBorder="1" applyAlignment="1">
      <alignment horizontal="justify" vertical="center" wrapText="1"/>
    </xf>
    <xf numFmtId="0" fontId="28" fillId="0" borderId="46" xfId="0" applyFont="1" applyBorder="1" applyAlignment="1">
      <alignment horizontal="justify" vertical="center" wrapText="1"/>
    </xf>
    <xf numFmtId="0" fontId="28"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0" fontId="28" fillId="0" borderId="32"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39" xfId="0" applyFont="1" applyBorder="1" applyAlignment="1">
      <alignment horizontal="justify" vertical="center" wrapText="1"/>
    </xf>
    <xf numFmtId="0" fontId="28" fillId="0" borderId="40"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43" xfId="0" applyFont="1" applyBorder="1" applyAlignment="1">
      <alignment horizontal="justify" vertical="center" wrapText="1"/>
    </xf>
    <xf numFmtId="0" fontId="28" fillId="0" borderId="44" xfId="0" applyFont="1" applyBorder="1" applyAlignment="1">
      <alignment horizontal="justify" vertical="center" wrapText="1"/>
    </xf>
    <xf numFmtId="0" fontId="28" fillId="0" borderId="13" xfId="0" applyFont="1" applyBorder="1" applyAlignment="1">
      <alignment horizontal="center" vertical="center" wrapText="1"/>
    </xf>
    <xf numFmtId="0" fontId="28" fillId="0" borderId="38"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0" fontId="7" fillId="6" borderId="20" xfId="2" applyFont="1" applyFill="1" applyBorder="1" applyAlignment="1">
      <alignment horizontal="center" vertical="top" wrapText="1"/>
    </xf>
    <xf numFmtId="0" fontId="7" fillId="6" borderId="0" xfId="2" applyFont="1" applyFill="1" applyBorder="1" applyAlignment="1">
      <alignment horizontal="center" vertical="top" wrapText="1"/>
    </xf>
    <xf numFmtId="0" fontId="7" fillId="6" borderId="21" xfId="2" applyFont="1" applyFill="1" applyBorder="1" applyAlignment="1">
      <alignment horizontal="center" vertical="top" wrapText="1"/>
    </xf>
    <xf numFmtId="0" fontId="7" fillId="3" borderId="13" xfId="2" applyFont="1" applyFill="1" applyBorder="1" applyAlignment="1">
      <alignment horizontal="center" wrapText="1"/>
    </xf>
    <xf numFmtId="0" fontId="7" fillId="3" borderId="14" xfId="2" applyFont="1" applyFill="1" applyBorder="1" applyAlignment="1">
      <alignment horizontal="center" wrapText="1"/>
    </xf>
    <xf numFmtId="0" fontId="7" fillId="3" borderId="15" xfId="2" applyFont="1" applyFill="1" applyBorder="1" applyAlignment="1">
      <alignment horizontal="center" wrapText="1"/>
    </xf>
    <xf numFmtId="0" fontId="7" fillId="4" borderId="13" xfId="2" applyFont="1" applyFill="1" applyBorder="1" applyAlignment="1">
      <alignment horizontal="center"/>
    </xf>
    <xf numFmtId="0" fontId="7" fillId="4" borderId="14" xfId="2" applyFont="1" applyFill="1" applyBorder="1" applyAlignment="1">
      <alignment horizontal="center"/>
    </xf>
    <xf numFmtId="0" fontId="7" fillId="4" borderId="15" xfId="2" applyFont="1" applyFill="1" applyBorder="1" applyAlignment="1">
      <alignment horizontal="center"/>
    </xf>
    <xf numFmtId="0" fontId="7" fillId="6" borderId="1" xfId="2" applyFont="1" applyFill="1" applyBorder="1" applyAlignment="1">
      <alignment horizontal="center" vertical="center" wrapText="1"/>
    </xf>
    <xf numFmtId="0" fontId="7" fillId="6" borderId="17" xfId="2" applyFont="1" applyFill="1" applyBorder="1" applyAlignment="1">
      <alignment horizontal="center" vertical="center" wrapText="1"/>
    </xf>
    <xf numFmtId="0" fontId="7" fillId="6" borderId="18" xfId="2" applyFont="1" applyFill="1" applyBorder="1" applyAlignment="1">
      <alignment horizontal="center" vertical="center" wrapText="1"/>
    </xf>
    <xf numFmtId="0" fontId="7" fillId="6" borderId="19" xfId="2"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left" vertical="center" wrapText="1"/>
    </xf>
    <xf numFmtId="0" fontId="20" fillId="15" borderId="4" xfId="0" applyFont="1" applyFill="1" applyBorder="1" applyAlignment="1">
      <alignment horizontal="left" vertical="center" wrapText="1"/>
    </xf>
    <xf numFmtId="3" fontId="20" fillId="17" borderId="11" xfId="0" applyNumberFormat="1" applyFont="1" applyFill="1" applyBorder="1" applyAlignment="1">
      <alignment horizontal="center"/>
    </xf>
    <xf numFmtId="3" fontId="20" fillId="17" borderId="68" xfId="0" applyNumberFormat="1" applyFont="1" applyFill="1" applyBorder="1" applyAlignment="1">
      <alignment horizontal="center"/>
    </xf>
    <xf numFmtId="3" fontId="20" fillId="17" borderId="5" xfId="0" applyNumberFormat="1" applyFont="1" applyFill="1" applyBorder="1" applyAlignment="1">
      <alignment horizontal="center"/>
    </xf>
    <xf numFmtId="3" fontId="20" fillId="17" borderId="11" xfId="0" applyNumberFormat="1" applyFont="1" applyFill="1" applyBorder="1" applyAlignment="1">
      <alignment horizontal="center" wrapText="1"/>
    </xf>
    <xf numFmtId="3" fontId="20" fillId="17" borderId="68" xfId="0" applyNumberFormat="1" applyFont="1" applyFill="1" applyBorder="1" applyAlignment="1">
      <alignment horizontal="center" wrapText="1"/>
    </xf>
    <xf numFmtId="3" fontId="20" fillId="17" borderId="5" xfId="0" applyNumberFormat="1" applyFont="1" applyFill="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1"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30" xfId="0" applyFont="1" applyBorder="1" applyAlignment="1">
      <alignment horizontal="center" vertical="top" wrapText="1"/>
    </xf>
    <xf numFmtId="0" fontId="1" fillId="0" borderId="0"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29"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3" fillId="0" borderId="1" xfId="0" applyFont="1" applyBorder="1" applyAlignment="1">
      <alignment horizontal="left" vertical="top" wrapText="1"/>
    </xf>
  </cellXfs>
  <cellStyles count="12">
    <cellStyle name="Comma" xfId="1" builtinId="3"/>
    <cellStyle name="Comma 2" xfId="4"/>
    <cellStyle name="Comma 2 2" xfId="9"/>
    <cellStyle name="Comma 3" xfId="5"/>
    <cellStyle name="Comma 3 2" xfId="10"/>
    <cellStyle name="Comma 4" xfId="8"/>
    <cellStyle name="Normal" xfId="0" builtinId="0"/>
    <cellStyle name="Normal 2" xfId="2"/>
    <cellStyle name="Normal 3" xfId="6"/>
    <cellStyle name="Normal 4" xfId="11"/>
    <cellStyle name="Percent" xfId="7" builtinId="5"/>
    <cellStyle name="Percent 2" xfId="3"/>
  </cellStyles>
  <dxfs count="0"/>
  <tableStyles count="0" defaultTableStyle="TableStyleMedium2" defaultPivotStyle="PivotStyleLight16"/>
  <colors>
    <mruColors>
      <color rgb="FFCCCCFF"/>
      <color rgb="FFCCE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revisionHeaders" Target="revisions/revisionHeaders.xml"/></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0</xdr:col>
      <xdr:colOff>2768621</xdr:colOff>
      <xdr:row>1</xdr:row>
      <xdr:rowOff>593661</xdr:rowOff>
    </xdr:to>
    <xdr:sp macro="" textlink="">
      <xdr:nvSpPr>
        <xdr:cNvPr id="2" name="B43B9E99-EEEB-43E0-84A8-B82E90D6F7D8">
          <a:extLst>
            <a:ext uri="{FF2B5EF4-FFF2-40B4-BE49-F238E27FC236}">
              <a16:creationId xmlns:a16="http://schemas.microsoft.com/office/drawing/2014/main" id="{00000000-0008-0000-0300-000002000000}"/>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US" sz="1300" b="1"/>
            <a:t>3D Maps Tours
</a:t>
          </a:r>
          <a:r>
            <a:rPr lang="en-US" sz="1100"/>
            <a:t>This workbook has 3D Maps tours available.
Open 3D Maps to edit or play the tours.</a:t>
          </a:r>
          <a:endParaRPr lang="bg-BG" sz="1100"/>
        </a:p>
      </xdr:txBody>
    </xdr:sp>
    <xdr:clientData/>
  </xdr:twoCellAnchor>
</xdr:wsDr>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21" Type="http://schemas.openxmlformats.org/officeDocument/2006/relationships/revisionLog" Target="revisionLog21.xml"/><Relationship Id="rId42" Type="http://schemas.openxmlformats.org/officeDocument/2006/relationships/revisionLog" Target="revisionLog42.xml"/><Relationship Id="rId47" Type="http://schemas.openxmlformats.org/officeDocument/2006/relationships/revisionLog" Target="revisionLog47.xml"/><Relationship Id="rId63" Type="http://schemas.openxmlformats.org/officeDocument/2006/relationships/revisionLog" Target="revisionLog63.xml"/><Relationship Id="rId68" Type="http://schemas.openxmlformats.org/officeDocument/2006/relationships/revisionLog" Target="revisionLog68.xml"/><Relationship Id="rId84" Type="http://schemas.openxmlformats.org/officeDocument/2006/relationships/revisionLog" Target="revisionLog84.xml"/><Relationship Id="rId89" Type="http://schemas.openxmlformats.org/officeDocument/2006/relationships/revisionLog" Target="revisionLog89.xml"/><Relationship Id="rId112" Type="http://schemas.openxmlformats.org/officeDocument/2006/relationships/revisionLog" Target="revisionLog112.xml"/><Relationship Id="rId16" Type="http://schemas.openxmlformats.org/officeDocument/2006/relationships/revisionLog" Target="revisionLog16.xml"/><Relationship Id="rId107" Type="http://schemas.openxmlformats.org/officeDocument/2006/relationships/revisionLog" Target="revisionLog107.xml"/><Relationship Id="rId11" Type="http://schemas.openxmlformats.org/officeDocument/2006/relationships/revisionLog" Target="revisionLog11.xml"/><Relationship Id="rId32" Type="http://schemas.openxmlformats.org/officeDocument/2006/relationships/revisionLog" Target="revisionLog32.xml"/><Relationship Id="rId37" Type="http://schemas.openxmlformats.org/officeDocument/2006/relationships/revisionLog" Target="revisionLog37.xml"/><Relationship Id="rId53" Type="http://schemas.openxmlformats.org/officeDocument/2006/relationships/revisionLog" Target="revisionLog53.xml"/><Relationship Id="rId58" Type="http://schemas.openxmlformats.org/officeDocument/2006/relationships/revisionLog" Target="revisionLog58.xml"/><Relationship Id="rId74" Type="http://schemas.openxmlformats.org/officeDocument/2006/relationships/revisionLog" Target="revisionLog74.xml"/><Relationship Id="rId79" Type="http://schemas.openxmlformats.org/officeDocument/2006/relationships/revisionLog" Target="revisionLog79.xml"/><Relationship Id="rId102" Type="http://schemas.openxmlformats.org/officeDocument/2006/relationships/revisionLog" Target="revisionLog102.xml"/><Relationship Id="rId5" Type="http://schemas.openxmlformats.org/officeDocument/2006/relationships/revisionLog" Target="revisionLog5.xml"/><Relationship Id="rId90" Type="http://schemas.openxmlformats.org/officeDocument/2006/relationships/revisionLog" Target="revisionLog90.xml"/><Relationship Id="rId95" Type="http://schemas.openxmlformats.org/officeDocument/2006/relationships/revisionLog" Target="revisionLog95.xml"/><Relationship Id="rId22" Type="http://schemas.openxmlformats.org/officeDocument/2006/relationships/revisionLog" Target="revisionLog22.xml"/><Relationship Id="rId27" Type="http://schemas.openxmlformats.org/officeDocument/2006/relationships/revisionLog" Target="revisionLog27.xml"/><Relationship Id="rId43" Type="http://schemas.openxmlformats.org/officeDocument/2006/relationships/revisionLog" Target="revisionLog43.xml"/><Relationship Id="rId48" Type="http://schemas.openxmlformats.org/officeDocument/2006/relationships/revisionLog" Target="revisionLog48.xml"/><Relationship Id="rId64" Type="http://schemas.openxmlformats.org/officeDocument/2006/relationships/revisionLog" Target="revisionLog64.xml"/><Relationship Id="rId69" Type="http://schemas.openxmlformats.org/officeDocument/2006/relationships/revisionLog" Target="revisionLog69.xml"/><Relationship Id="rId113" Type="http://schemas.openxmlformats.org/officeDocument/2006/relationships/revisionLog" Target="revisionLog113.xml"/><Relationship Id="rId80" Type="http://schemas.openxmlformats.org/officeDocument/2006/relationships/revisionLog" Target="revisionLog80.xml"/><Relationship Id="rId85" Type="http://schemas.openxmlformats.org/officeDocument/2006/relationships/revisionLog" Target="revisionLog85.xml"/><Relationship Id="rId12" Type="http://schemas.openxmlformats.org/officeDocument/2006/relationships/revisionLog" Target="revisionLog12.xml"/><Relationship Id="rId17" Type="http://schemas.openxmlformats.org/officeDocument/2006/relationships/revisionLog" Target="revisionLog17.xml"/><Relationship Id="rId33" Type="http://schemas.openxmlformats.org/officeDocument/2006/relationships/revisionLog" Target="revisionLog33.xml"/><Relationship Id="rId38" Type="http://schemas.openxmlformats.org/officeDocument/2006/relationships/revisionLog" Target="revisionLog38.xml"/><Relationship Id="rId59" Type="http://schemas.openxmlformats.org/officeDocument/2006/relationships/revisionLog" Target="revisionLog59.xml"/><Relationship Id="rId103" Type="http://schemas.openxmlformats.org/officeDocument/2006/relationships/revisionLog" Target="revisionLog103.xml"/><Relationship Id="rId108" Type="http://schemas.openxmlformats.org/officeDocument/2006/relationships/revisionLog" Target="revisionLog108.xml"/><Relationship Id="rId54" Type="http://schemas.openxmlformats.org/officeDocument/2006/relationships/revisionLog" Target="revisionLog54.xml"/><Relationship Id="rId70" Type="http://schemas.openxmlformats.org/officeDocument/2006/relationships/revisionLog" Target="revisionLog70.xml"/><Relationship Id="rId75" Type="http://schemas.openxmlformats.org/officeDocument/2006/relationships/revisionLog" Target="revisionLog75.xml"/><Relationship Id="rId91" Type="http://schemas.openxmlformats.org/officeDocument/2006/relationships/revisionLog" Target="revisionLog91.xml"/><Relationship Id="rId96" Type="http://schemas.openxmlformats.org/officeDocument/2006/relationships/revisionLog" Target="revisionLog96.xml"/><Relationship Id="rId1" Type="http://schemas.openxmlformats.org/officeDocument/2006/relationships/revisionLog" Target="revisionLog1.xml"/><Relationship Id="rId6" Type="http://schemas.openxmlformats.org/officeDocument/2006/relationships/revisionLog" Target="revisionLog6.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57" Type="http://schemas.openxmlformats.org/officeDocument/2006/relationships/revisionLog" Target="revisionLog57.xml"/><Relationship Id="rId106" Type="http://schemas.openxmlformats.org/officeDocument/2006/relationships/revisionLog" Target="revisionLog106.xml"/><Relationship Id="rId10" Type="http://schemas.openxmlformats.org/officeDocument/2006/relationships/revisionLog" Target="revisionLog10.xml"/><Relationship Id="rId31" Type="http://schemas.openxmlformats.org/officeDocument/2006/relationships/revisionLog" Target="revisionLog31.xml"/><Relationship Id="rId44" Type="http://schemas.openxmlformats.org/officeDocument/2006/relationships/revisionLog" Target="revisionLog44.xml"/><Relationship Id="rId52" Type="http://schemas.openxmlformats.org/officeDocument/2006/relationships/revisionLog" Target="revisionLog52.xml"/><Relationship Id="rId60" Type="http://schemas.openxmlformats.org/officeDocument/2006/relationships/revisionLog" Target="revisionLog60.xml"/><Relationship Id="rId65" Type="http://schemas.openxmlformats.org/officeDocument/2006/relationships/revisionLog" Target="revisionLog65.xml"/><Relationship Id="rId73" Type="http://schemas.openxmlformats.org/officeDocument/2006/relationships/revisionLog" Target="revisionLog73.xml"/><Relationship Id="rId78" Type="http://schemas.openxmlformats.org/officeDocument/2006/relationships/revisionLog" Target="revisionLog78.xml"/><Relationship Id="rId81" Type="http://schemas.openxmlformats.org/officeDocument/2006/relationships/revisionLog" Target="revisionLog81.xml"/><Relationship Id="rId86" Type="http://schemas.openxmlformats.org/officeDocument/2006/relationships/revisionLog" Target="revisionLog86.xml"/><Relationship Id="rId94" Type="http://schemas.openxmlformats.org/officeDocument/2006/relationships/revisionLog" Target="revisionLog94.xml"/><Relationship Id="rId99" Type="http://schemas.openxmlformats.org/officeDocument/2006/relationships/revisionLog" Target="revisionLog99.xml"/><Relationship Id="rId101" Type="http://schemas.openxmlformats.org/officeDocument/2006/relationships/revisionLog" Target="revisionLog101.xml"/><Relationship Id="rId4" Type="http://schemas.openxmlformats.org/officeDocument/2006/relationships/revisionLog" Target="revisionLog4.xml"/><Relationship Id="rId9" Type="http://schemas.openxmlformats.org/officeDocument/2006/relationships/revisionLog" Target="revisionLog9.xml"/><Relationship Id="rId13" Type="http://schemas.openxmlformats.org/officeDocument/2006/relationships/revisionLog" Target="revisionLog13.xml"/><Relationship Id="rId18" Type="http://schemas.openxmlformats.org/officeDocument/2006/relationships/revisionLog" Target="revisionLog18.xml"/><Relationship Id="rId39" Type="http://schemas.openxmlformats.org/officeDocument/2006/relationships/revisionLog" Target="revisionLog39.xml"/><Relationship Id="rId109" Type="http://schemas.openxmlformats.org/officeDocument/2006/relationships/revisionLog" Target="revisionLog109.xml"/><Relationship Id="rId34" Type="http://schemas.openxmlformats.org/officeDocument/2006/relationships/revisionLog" Target="revisionLog34.xml"/><Relationship Id="rId50" Type="http://schemas.openxmlformats.org/officeDocument/2006/relationships/revisionLog" Target="revisionLog50.xml"/><Relationship Id="rId55" Type="http://schemas.openxmlformats.org/officeDocument/2006/relationships/revisionLog" Target="revisionLog55.xml"/><Relationship Id="rId76" Type="http://schemas.openxmlformats.org/officeDocument/2006/relationships/revisionLog" Target="revisionLog76.xml"/><Relationship Id="rId97" Type="http://schemas.openxmlformats.org/officeDocument/2006/relationships/revisionLog" Target="revisionLog97.xml"/><Relationship Id="rId104" Type="http://schemas.openxmlformats.org/officeDocument/2006/relationships/revisionLog" Target="revisionLog104.xml"/><Relationship Id="rId7" Type="http://schemas.openxmlformats.org/officeDocument/2006/relationships/revisionLog" Target="revisionLog7.xml"/><Relationship Id="rId71" Type="http://schemas.openxmlformats.org/officeDocument/2006/relationships/revisionLog" Target="revisionLog71.xml"/><Relationship Id="rId92" Type="http://schemas.openxmlformats.org/officeDocument/2006/relationships/revisionLog" Target="revisionLog92.xml"/><Relationship Id="rId2" Type="http://schemas.openxmlformats.org/officeDocument/2006/relationships/revisionLog" Target="revisionLog2.xml"/><Relationship Id="rId29" Type="http://schemas.openxmlformats.org/officeDocument/2006/relationships/revisionLog" Target="revisionLog29.xml"/><Relationship Id="rId24" Type="http://schemas.openxmlformats.org/officeDocument/2006/relationships/revisionLog" Target="revisionLog24.xml"/><Relationship Id="rId40" Type="http://schemas.openxmlformats.org/officeDocument/2006/relationships/revisionLog" Target="revisionLog40.xml"/><Relationship Id="rId45" Type="http://schemas.openxmlformats.org/officeDocument/2006/relationships/revisionLog" Target="revisionLog45.xml"/><Relationship Id="rId66" Type="http://schemas.openxmlformats.org/officeDocument/2006/relationships/revisionLog" Target="revisionLog66.xml"/><Relationship Id="rId87" Type="http://schemas.openxmlformats.org/officeDocument/2006/relationships/revisionLog" Target="revisionLog87.xml"/><Relationship Id="rId110" Type="http://schemas.openxmlformats.org/officeDocument/2006/relationships/revisionLog" Target="revisionLog110.xml"/><Relationship Id="rId61" Type="http://schemas.openxmlformats.org/officeDocument/2006/relationships/revisionLog" Target="revisionLog61.xml"/><Relationship Id="rId82" Type="http://schemas.openxmlformats.org/officeDocument/2006/relationships/revisionLog" Target="revisionLog82.xml"/><Relationship Id="rId19" Type="http://schemas.openxmlformats.org/officeDocument/2006/relationships/revisionLog" Target="revisionLog19.xml"/><Relationship Id="rId14" Type="http://schemas.openxmlformats.org/officeDocument/2006/relationships/revisionLog" Target="revisionLog14.xml"/><Relationship Id="rId30" Type="http://schemas.openxmlformats.org/officeDocument/2006/relationships/revisionLog" Target="revisionLog30.xml"/><Relationship Id="rId35" Type="http://schemas.openxmlformats.org/officeDocument/2006/relationships/revisionLog" Target="revisionLog35.xml"/><Relationship Id="rId56" Type="http://schemas.openxmlformats.org/officeDocument/2006/relationships/revisionLog" Target="revisionLog56.xml"/><Relationship Id="rId77" Type="http://schemas.openxmlformats.org/officeDocument/2006/relationships/revisionLog" Target="revisionLog77.xml"/><Relationship Id="rId100" Type="http://schemas.openxmlformats.org/officeDocument/2006/relationships/revisionLog" Target="revisionLog100.xml"/><Relationship Id="rId105" Type="http://schemas.openxmlformats.org/officeDocument/2006/relationships/revisionLog" Target="revisionLog105.xml"/><Relationship Id="rId8" Type="http://schemas.openxmlformats.org/officeDocument/2006/relationships/revisionLog" Target="revisionLog8.xml"/><Relationship Id="rId51" Type="http://schemas.openxmlformats.org/officeDocument/2006/relationships/revisionLog" Target="revisionLog51.xml"/><Relationship Id="rId72" Type="http://schemas.openxmlformats.org/officeDocument/2006/relationships/revisionLog" Target="revisionLog72.xml"/><Relationship Id="rId93" Type="http://schemas.openxmlformats.org/officeDocument/2006/relationships/revisionLog" Target="revisionLog93.xml"/><Relationship Id="rId98" Type="http://schemas.openxmlformats.org/officeDocument/2006/relationships/revisionLog" Target="revisionLog98.xml"/><Relationship Id="rId3" Type="http://schemas.openxmlformats.org/officeDocument/2006/relationships/revisionLog" Target="revisionLog3.xml"/><Relationship Id="rId25" Type="http://schemas.openxmlformats.org/officeDocument/2006/relationships/revisionLog" Target="revisionLog25.xml"/><Relationship Id="rId46" Type="http://schemas.openxmlformats.org/officeDocument/2006/relationships/revisionLog" Target="revisionLog46.xml"/><Relationship Id="rId67" Type="http://schemas.openxmlformats.org/officeDocument/2006/relationships/revisionLog" Target="revisionLog67.xml"/><Relationship Id="rId20" Type="http://schemas.openxmlformats.org/officeDocument/2006/relationships/revisionLog" Target="revisionLog20.xml"/><Relationship Id="rId41" Type="http://schemas.openxmlformats.org/officeDocument/2006/relationships/revisionLog" Target="revisionLog41.xml"/><Relationship Id="rId62" Type="http://schemas.openxmlformats.org/officeDocument/2006/relationships/revisionLog" Target="revisionLog62.xml"/><Relationship Id="rId83" Type="http://schemas.openxmlformats.org/officeDocument/2006/relationships/revisionLog" Target="revisionLog83.xml"/><Relationship Id="rId88" Type="http://schemas.openxmlformats.org/officeDocument/2006/relationships/revisionLog" Target="revisionLog88.xml"/><Relationship Id="rId111" Type="http://schemas.openxmlformats.org/officeDocument/2006/relationships/revisionLog" Target="revisionLog1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82F7C40-9C97-42F0-A882-D740DCA77A87}" diskRevisions="1" revisionId="716" version="113">
  <header guid="{5843BFCC-5121-4EA3-B0D8-A9AA6B2488EC}" dateTime="2022-06-27T13:35:24" maxSheetId="10" userName="Атанас Атанасов" r:id="rId1">
    <sheetIdMap count="9">
      <sheetId val="1"/>
      <sheetId val="2"/>
      <sheetId val="3"/>
      <sheetId val="4"/>
      <sheetId val="5"/>
      <sheetId val="6"/>
      <sheetId val="7"/>
      <sheetId val="8"/>
      <sheetId val="9"/>
    </sheetIdMap>
  </header>
  <header guid="{3B87E796-C3AC-45B5-844C-29EA9699AA3C}" dateTime="2022-06-27T14:32:32" maxSheetId="10" userName="Атанас Атанасов" r:id="rId2" minRId="1">
    <sheetIdMap count="9">
      <sheetId val="1"/>
      <sheetId val="2"/>
      <sheetId val="3"/>
      <sheetId val="4"/>
      <sheetId val="5"/>
      <sheetId val="6"/>
      <sheetId val="7"/>
      <sheetId val="8"/>
      <sheetId val="9"/>
    </sheetIdMap>
  </header>
  <header guid="{C1A33838-1AB7-4F3B-945A-3D013629024E}" dateTime="2022-06-27T14:39:08" maxSheetId="10" userName="Атанас Атанасов" r:id="rId3" minRId="2">
    <sheetIdMap count="9">
      <sheetId val="1"/>
      <sheetId val="2"/>
      <sheetId val="3"/>
      <sheetId val="4"/>
      <sheetId val="5"/>
      <sheetId val="6"/>
      <sheetId val="7"/>
      <sheetId val="8"/>
      <sheetId val="9"/>
    </sheetIdMap>
  </header>
  <header guid="{C611DCFD-E873-48DC-ABD3-18B94D1AA5FA}" dateTime="2022-06-27T14:52:02" maxSheetId="10" userName="Атанас Атанасов" r:id="rId4" minRId="12">
    <sheetIdMap count="9">
      <sheetId val="1"/>
      <sheetId val="2"/>
      <sheetId val="3"/>
      <sheetId val="4"/>
      <sheetId val="5"/>
      <sheetId val="6"/>
      <sheetId val="7"/>
      <sheetId val="8"/>
      <sheetId val="9"/>
    </sheetIdMap>
  </header>
  <header guid="{F63F7040-706F-4B5B-B3DB-971DC357DC89}" dateTime="2022-06-27T15:18:29" maxSheetId="10" userName="Атанас Атанасов" r:id="rId5" minRId="13">
    <sheetIdMap count="9">
      <sheetId val="1"/>
      <sheetId val="2"/>
      <sheetId val="3"/>
      <sheetId val="4"/>
      <sheetId val="5"/>
      <sheetId val="6"/>
      <sheetId val="7"/>
      <sheetId val="8"/>
      <sheetId val="9"/>
    </sheetIdMap>
  </header>
  <header guid="{C868E37D-C37D-4E36-8396-1B4CE447CD1F}" dateTime="2022-06-29T10:58:20" maxSheetId="10" userName="Полина Личева" r:id="rId6" minRId="14">
    <sheetIdMap count="9">
      <sheetId val="1"/>
      <sheetId val="2"/>
      <sheetId val="3"/>
      <sheetId val="4"/>
      <sheetId val="5"/>
      <sheetId val="6"/>
      <sheetId val="7"/>
      <sheetId val="8"/>
      <sheetId val="9"/>
    </sheetIdMap>
  </header>
  <header guid="{5584F33D-725D-4C19-8E47-4CAC46D0233B}" dateTime="2022-06-29T12:09:05" maxSheetId="10" userName="Полина Личева" r:id="rId7" minRId="24" maxRId="26">
    <sheetIdMap count="9">
      <sheetId val="1"/>
      <sheetId val="2"/>
      <sheetId val="3"/>
      <sheetId val="4"/>
      <sheetId val="5"/>
      <sheetId val="6"/>
      <sheetId val="7"/>
      <sheetId val="8"/>
      <sheetId val="9"/>
    </sheetIdMap>
  </header>
  <header guid="{A4FAC041-12EC-4657-8DB9-DFC19FF76889}" dateTime="2022-06-29T12:09:23" maxSheetId="10" userName="Атанас Атанасов" r:id="rId8">
    <sheetIdMap count="9">
      <sheetId val="1"/>
      <sheetId val="2"/>
      <sheetId val="3"/>
      <sheetId val="4"/>
      <sheetId val="5"/>
      <sheetId val="6"/>
      <sheetId val="7"/>
      <sheetId val="8"/>
      <sheetId val="9"/>
    </sheetIdMap>
  </header>
  <header guid="{47EDDE5B-A867-4F39-AC97-ED511DD6AE62}" dateTime="2022-06-29T12:11:43" maxSheetId="10" userName="Полина Личева" r:id="rId9" minRId="36">
    <sheetIdMap count="9">
      <sheetId val="1"/>
      <sheetId val="2"/>
      <sheetId val="3"/>
      <sheetId val="4"/>
      <sheetId val="5"/>
      <sheetId val="6"/>
      <sheetId val="7"/>
      <sheetId val="8"/>
      <sheetId val="9"/>
    </sheetIdMap>
  </header>
  <header guid="{CA6F6E5E-BB2D-49FB-933F-2BBF097F25C1}" dateTime="2022-06-29T12:12:06" maxSheetId="10" userName="Атанас Атанасов" r:id="rId10">
    <sheetIdMap count="9">
      <sheetId val="1"/>
      <sheetId val="2"/>
      <sheetId val="3"/>
      <sheetId val="4"/>
      <sheetId val="5"/>
      <sheetId val="6"/>
      <sheetId val="7"/>
      <sheetId val="8"/>
      <sheetId val="9"/>
    </sheetIdMap>
  </header>
  <header guid="{D7797374-A3E3-4A40-9838-F2025D5B3178}" dateTime="2022-06-29T12:28:48" maxSheetId="10" userName="Полина Личева" r:id="rId11" minRId="46">
    <sheetIdMap count="9">
      <sheetId val="1"/>
      <sheetId val="2"/>
      <sheetId val="3"/>
      <sheetId val="4"/>
      <sheetId val="5"/>
      <sheetId val="6"/>
      <sheetId val="7"/>
      <sheetId val="8"/>
      <sheetId val="9"/>
    </sheetIdMap>
  </header>
  <header guid="{5FBE2E66-1DC5-4700-9F9E-356A04C503CD}" dateTime="2022-06-29T12:35:50" maxSheetId="10" userName="Полина Личева" r:id="rId12" minRId="56">
    <sheetIdMap count="9">
      <sheetId val="1"/>
      <sheetId val="2"/>
      <sheetId val="3"/>
      <sheetId val="4"/>
      <sheetId val="5"/>
      <sheetId val="6"/>
      <sheetId val="7"/>
      <sheetId val="8"/>
      <sheetId val="9"/>
    </sheetIdMap>
  </header>
  <header guid="{2F4C6900-6F5B-4823-BB5E-57BEB9F62083}" dateTime="2022-06-29T12:38:57" maxSheetId="10" userName="Полина Личева" r:id="rId13" minRId="57">
    <sheetIdMap count="9">
      <sheetId val="1"/>
      <sheetId val="2"/>
      <sheetId val="3"/>
      <sheetId val="4"/>
      <sheetId val="5"/>
      <sheetId val="6"/>
      <sheetId val="7"/>
      <sheetId val="8"/>
      <sheetId val="9"/>
    </sheetIdMap>
  </header>
  <header guid="{284A5559-FD2D-4197-B910-DA482373CBE4}" dateTime="2022-06-29T12:39:22" maxSheetId="10" userName="Полина Личева" r:id="rId14" minRId="67">
    <sheetIdMap count="9">
      <sheetId val="1"/>
      <sheetId val="2"/>
      <sheetId val="3"/>
      <sheetId val="4"/>
      <sheetId val="5"/>
      <sheetId val="6"/>
      <sheetId val="7"/>
      <sheetId val="8"/>
      <sheetId val="9"/>
    </sheetIdMap>
  </header>
  <header guid="{55F447C6-5212-4F01-ABD2-41DA91535B6B}" dateTime="2022-06-29T13:50:56" maxSheetId="10" userName="Полина Личева" r:id="rId15" minRId="68">
    <sheetIdMap count="9">
      <sheetId val="1"/>
      <sheetId val="2"/>
      <sheetId val="3"/>
      <sheetId val="4"/>
      <sheetId val="5"/>
      <sheetId val="6"/>
      <sheetId val="7"/>
      <sheetId val="8"/>
      <sheetId val="9"/>
    </sheetIdMap>
  </header>
  <header guid="{BF340E43-2520-4AAE-83CF-593613816D12}" dateTime="2022-06-29T13:59:37" maxSheetId="10" userName="Полина Личева" r:id="rId16" minRId="78" maxRId="79">
    <sheetIdMap count="9">
      <sheetId val="1"/>
      <sheetId val="2"/>
      <sheetId val="3"/>
      <sheetId val="4"/>
      <sheetId val="5"/>
      <sheetId val="6"/>
      <sheetId val="7"/>
      <sheetId val="8"/>
      <sheetId val="9"/>
    </sheetIdMap>
  </header>
  <header guid="{9F46BD89-C4EC-417C-A706-07883DD39363}" dateTime="2022-06-29T13:59:47" maxSheetId="10" userName="Атанас Атанасов" r:id="rId17">
    <sheetIdMap count="9">
      <sheetId val="1"/>
      <sheetId val="2"/>
      <sheetId val="3"/>
      <sheetId val="4"/>
      <sheetId val="5"/>
      <sheetId val="6"/>
      <sheetId val="7"/>
      <sheetId val="8"/>
      <sheetId val="9"/>
    </sheetIdMap>
  </header>
  <header guid="{F3E40B8C-FA70-4263-A7D5-0D575EC99798}" dateTime="2022-06-29T14:00:27" maxSheetId="10" userName="Полина Личева" r:id="rId18" minRId="89">
    <sheetIdMap count="9">
      <sheetId val="1"/>
      <sheetId val="2"/>
      <sheetId val="3"/>
      <sheetId val="4"/>
      <sheetId val="5"/>
      <sheetId val="6"/>
      <sheetId val="7"/>
      <sheetId val="8"/>
      <sheetId val="9"/>
    </sheetIdMap>
  </header>
  <header guid="{553EDE83-14FB-4E54-AA65-ACB3558CA717}" dateTime="2022-06-29T14:13:25" maxSheetId="10" userName="Полина Личева" r:id="rId19" minRId="90">
    <sheetIdMap count="9">
      <sheetId val="1"/>
      <sheetId val="2"/>
      <sheetId val="3"/>
      <sheetId val="4"/>
      <sheetId val="5"/>
      <sheetId val="6"/>
      <sheetId val="7"/>
      <sheetId val="8"/>
      <sheetId val="9"/>
    </sheetIdMap>
  </header>
  <header guid="{42D5DF16-C1E1-4757-A360-C947650B7963}" dateTime="2022-06-29T14:14:23" maxSheetId="10" userName="Полина Личева" r:id="rId20" minRId="91">
    <sheetIdMap count="9">
      <sheetId val="1"/>
      <sheetId val="2"/>
      <sheetId val="3"/>
      <sheetId val="4"/>
      <sheetId val="5"/>
      <sheetId val="6"/>
      <sheetId val="7"/>
      <sheetId val="8"/>
      <sheetId val="9"/>
    </sheetIdMap>
  </header>
  <header guid="{244B56EC-975B-4E99-A099-39E6A8828BDA}" dateTime="2022-06-29T14:14:52" maxSheetId="10" userName="Полина Личева" r:id="rId21" minRId="92">
    <sheetIdMap count="9">
      <sheetId val="1"/>
      <sheetId val="2"/>
      <sheetId val="3"/>
      <sheetId val="4"/>
      <sheetId val="5"/>
      <sheetId val="6"/>
      <sheetId val="7"/>
      <sheetId val="8"/>
      <sheetId val="9"/>
    </sheetIdMap>
  </header>
  <header guid="{2BC42EE5-3086-4026-93BD-09DA700135A9}" dateTime="2022-06-29T14:15:12" maxSheetId="10" userName="Полина Личева" r:id="rId22" minRId="93">
    <sheetIdMap count="9">
      <sheetId val="1"/>
      <sheetId val="2"/>
      <sheetId val="3"/>
      <sheetId val="4"/>
      <sheetId val="5"/>
      <sheetId val="6"/>
      <sheetId val="7"/>
      <sheetId val="8"/>
      <sheetId val="9"/>
    </sheetIdMap>
  </header>
  <header guid="{ABC79C97-104A-450F-9E05-8B7AB69C32FE}" dateTime="2022-06-29T14:15:27" maxSheetId="10" userName="Полина Личева" r:id="rId23" minRId="94">
    <sheetIdMap count="9">
      <sheetId val="1"/>
      <sheetId val="2"/>
      <sheetId val="3"/>
      <sheetId val="4"/>
      <sheetId val="5"/>
      <sheetId val="6"/>
      <sheetId val="7"/>
      <sheetId val="8"/>
      <sheetId val="9"/>
    </sheetIdMap>
  </header>
  <header guid="{09FCD7E4-D64F-4BAF-920B-988F4C9B47C0}" dateTime="2022-06-29T14:26:00" maxSheetId="10" userName="Полина Личева" r:id="rId24" minRId="95">
    <sheetIdMap count="9">
      <sheetId val="1"/>
      <sheetId val="2"/>
      <sheetId val="3"/>
      <sheetId val="4"/>
      <sheetId val="5"/>
      <sheetId val="6"/>
      <sheetId val="7"/>
      <sheetId val="8"/>
      <sheetId val="9"/>
    </sheetIdMap>
  </header>
  <header guid="{BAAA5CD3-2957-4451-82B7-BE9F6587303B}" dateTime="2022-06-29T14:31:59" maxSheetId="10" userName="Полина Личева" r:id="rId25" minRId="96">
    <sheetIdMap count="9">
      <sheetId val="1"/>
      <sheetId val="2"/>
      <sheetId val="3"/>
      <sheetId val="4"/>
      <sheetId val="5"/>
      <sheetId val="6"/>
      <sheetId val="7"/>
      <sheetId val="8"/>
      <sheetId val="9"/>
    </sheetIdMap>
  </header>
  <header guid="{B67438E3-196A-43B6-80FC-18C28785B5B6}" dateTime="2022-06-29T14:32:39" maxSheetId="10" userName="Полина Личева" r:id="rId26" minRId="97">
    <sheetIdMap count="9">
      <sheetId val="1"/>
      <sheetId val="2"/>
      <sheetId val="3"/>
      <sheetId val="4"/>
      <sheetId val="5"/>
      <sheetId val="6"/>
      <sheetId val="7"/>
      <sheetId val="8"/>
      <sheetId val="9"/>
    </sheetIdMap>
  </header>
  <header guid="{E26B2B7C-9DF6-4A5E-9226-E4073DFDB917}" dateTime="2022-06-29T14:34:48" maxSheetId="10" userName="Атанас Атанасов" r:id="rId27" minRId="98">
    <sheetIdMap count="9">
      <sheetId val="1"/>
      <sheetId val="2"/>
      <sheetId val="3"/>
      <sheetId val="4"/>
      <sheetId val="5"/>
      <sheetId val="6"/>
      <sheetId val="7"/>
      <sheetId val="8"/>
      <sheetId val="9"/>
    </sheetIdMap>
  </header>
  <header guid="{2B245D21-6764-4D8C-8BEB-7FD2EE00494D}" dateTime="2022-06-29T14:57:20" maxSheetId="10" userName="Полина Личева" r:id="rId28" minRId="99">
    <sheetIdMap count="9">
      <sheetId val="1"/>
      <sheetId val="2"/>
      <sheetId val="3"/>
      <sheetId val="4"/>
      <sheetId val="5"/>
      <sheetId val="6"/>
      <sheetId val="7"/>
      <sheetId val="8"/>
      <sheetId val="9"/>
    </sheetIdMap>
  </header>
  <header guid="{70A689C8-9D07-44D2-B0B7-2F78AC7E8728}" dateTime="2022-06-29T14:59:55" maxSheetId="10" userName="Полина Личева" r:id="rId29" minRId="100">
    <sheetIdMap count="9">
      <sheetId val="1"/>
      <sheetId val="2"/>
      <sheetId val="3"/>
      <sheetId val="4"/>
      <sheetId val="5"/>
      <sheetId val="6"/>
      <sheetId val="7"/>
      <sheetId val="8"/>
      <sheetId val="9"/>
    </sheetIdMap>
  </header>
  <header guid="{56FACCE1-9535-43DE-B70B-61070EA6C77D}" dateTime="2022-06-29T15:04:59" maxSheetId="10" userName="Полина Личева" r:id="rId30" minRId="110">
    <sheetIdMap count="9">
      <sheetId val="1"/>
      <sheetId val="2"/>
      <sheetId val="3"/>
      <sheetId val="4"/>
      <sheetId val="5"/>
      <sheetId val="6"/>
      <sheetId val="7"/>
      <sheetId val="8"/>
      <sheetId val="9"/>
    </sheetIdMap>
  </header>
  <header guid="{D5E15254-B253-40BC-9F89-99F801C26C21}" dateTime="2022-07-01T10:54:20" maxSheetId="10" userName="Полина Личева" r:id="rId31" minRId="111">
    <sheetIdMap count="9">
      <sheetId val="1"/>
      <sheetId val="2"/>
      <sheetId val="3"/>
      <sheetId val="4"/>
      <sheetId val="5"/>
      <sheetId val="6"/>
      <sheetId val="7"/>
      <sheetId val="8"/>
      <sheetId val="9"/>
    </sheetIdMap>
  </header>
  <header guid="{F6CDD417-5887-4197-A5C7-1C357C1E0419}" dateTime="2022-07-01T11:36:02" maxSheetId="10" userName="Полина Личева" r:id="rId32" minRId="121" maxRId="128">
    <sheetIdMap count="9">
      <sheetId val="1"/>
      <sheetId val="2"/>
      <sheetId val="3"/>
      <sheetId val="4"/>
      <sheetId val="5"/>
      <sheetId val="6"/>
      <sheetId val="7"/>
      <sheetId val="8"/>
      <sheetId val="9"/>
    </sheetIdMap>
  </header>
  <header guid="{C76CE5AE-AD4A-4864-BE17-7D6D41C779D0}" dateTime="2022-07-01T11:45:39" maxSheetId="10" userName="Полина Личева" r:id="rId33" minRId="129">
    <sheetIdMap count="9">
      <sheetId val="1"/>
      <sheetId val="2"/>
      <sheetId val="3"/>
      <sheetId val="4"/>
      <sheetId val="5"/>
      <sheetId val="6"/>
      <sheetId val="7"/>
      <sheetId val="8"/>
      <sheetId val="9"/>
    </sheetIdMap>
  </header>
  <header guid="{D4A87B12-BDDA-4407-95FA-765F26854D89}" dateTime="2022-07-01T13:22:44" maxSheetId="10" userName="Полина Личева" r:id="rId34" minRId="130">
    <sheetIdMap count="9">
      <sheetId val="1"/>
      <sheetId val="2"/>
      <sheetId val="3"/>
      <sheetId val="4"/>
      <sheetId val="5"/>
      <sheetId val="6"/>
      <sheetId val="7"/>
      <sheetId val="8"/>
      <sheetId val="9"/>
    </sheetIdMap>
  </header>
  <header guid="{0D377BC4-F944-4811-B85C-7C458E5D618E}" dateTime="2022-07-01T13:23:49" maxSheetId="10" userName="Полина Личева" r:id="rId35" minRId="140" maxRId="146">
    <sheetIdMap count="9">
      <sheetId val="1"/>
      <sheetId val="2"/>
      <sheetId val="3"/>
      <sheetId val="4"/>
      <sheetId val="5"/>
      <sheetId val="6"/>
      <sheetId val="7"/>
      <sheetId val="8"/>
      <sheetId val="9"/>
    </sheetIdMap>
  </header>
  <header guid="{AE05039D-4A60-4C18-B281-9CF39951B995}" dateTime="2022-07-01T13:24:39" maxSheetId="10" userName="Полина Личева" r:id="rId36" minRId="156" maxRId="159">
    <sheetIdMap count="9">
      <sheetId val="1"/>
      <sheetId val="2"/>
      <sheetId val="3"/>
      <sheetId val="4"/>
      <sheetId val="5"/>
      <sheetId val="6"/>
      <sheetId val="7"/>
      <sheetId val="8"/>
      <sheetId val="9"/>
    </sheetIdMap>
  </header>
  <header guid="{6908F6DC-8D85-46BB-991F-3017D6E46B3E}" dateTime="2022-07-01T13:32:54" maxSheetId="10" userName="Полина Личева" r:id="rId37" minRId="160">
    <sheetIdMap count="9">
      <sheetId val="1"/>
      <sheetId val="2"/>
      <sheetId val="3"/>
      <sheetId val="4"/>
      <sheetId val="5"/>
      <sheetId val="6"/>
      <sheetId val="7"/>
      <sheetId val="8"/>
      <sheetId val="9"/>
    </sheetIdMap>
  </header>
  <header guid="{861D729E-25E1-4884-89A6-A5655B7B3D7D}" dateTime="2022-07-01T13:33:08" maxSheetId="10" userName="Полина Личева" r:id="rId38" minRId="161">
    <sheetIdMap count="9">
      <sheetId val="1"/>
      <sheetId val="2"/>
      <sheetId val="3"/>
      <sheetId val="4"/>
      <sheetId val="5"/>
      <sheetId val="6"/>
      <sheetId val="7"/>
      <sheetId val="8"/>
      <sheetId val="9"/>
    </sheetIdMap>
  </header>
  <header guid="{41A9D8AF-82D0-41D1-85CE-169C5E522D88}" dateTime="2022-07-01T14:08:03" maxSheetId="10" userName="Полина Личева" r:id="rId39" minRId="162">
    <sheetIdMap count="9">
      <sheetId val="1"/>
      <sheetId val="2"/>
      <sheetId val="3"/>
      <sheetId val="4"/>
      <sheetId val="5"/>
      <sheetId val="6"/>
      <sheetId val="7"/>
      <sheetId val="8"/>
      <sheetId val="9"/>
    </sheetIdMap>
  </header>
  <header guid="{1E38BADD-BFC8-4969-9D06-04C0EA964579}" dateTime="2022-07-01T14:14:48" maxSheetId="10" userName="Полина Личева" r:id="rId40" minRId="163" maxRId="164">
    <sheetIdMap count="9">
      <sheetId val="1"/>
      <sheetId val="2"/>
      <sheetId val="3"/>
      <sheetId val="4"/>
      <sheetId val="5"/>
      <sheetId val="6"/>
      <sheetId val="7"/>
      <sheetId val="8"/>
      <sheetId val="9"/>
    </sheetIdMap>
  </header>
  <header guid="{CED803E9-417C-41D1-9574-11D9BA8BC493}" dateTime="2022-07-01T14:16:53" maxSheetId="10" userName="Полина Личева" r:id="rId41" minRId="174" maxRId="175">
    <sheetIdMap count="9">
      <sheetId val="1"/>
      <sheetId val="2"/>
      <sheetId val="3"/>
      <sheetId val="4"/>
      <sheetId val="5"/>
      <sheetId val="6"/>
      <sheetId val="7"/>
      <sheetId val="8"/>
      <sheetId val="9"/>
    </sheetIdMap>
  </header>
  <header guid="{B7089081-2030-4000-83F8-2CEA75BDB515}" dateTime="2022-07-01T14:19:56" maxSheetId="10" userName="Полина Личева" r:id="rId42" minRId="185">
    <sheetIdMap count="9">
      <sheetId val="1"/>
      <sheetId val="2"/>
      <sheetId val="3"/>
      <sheetId val="4"/>
      <sheetId val="5"/>
      <sheetId val="6"/>
      <sheetId val="7"/>
      <sheetId val="8"/>
      <sheetId val="9"/>
    </sheetIdMap>
  </header>
  <header guid="{AE45B215-2F5B-4F02-9D6B-DC40F861338A}" dateTime="2022-07-01T14:23:44" maxSheetId="10" userName="Полина Личева" r:id="rId43" minRId="186" maxRId="187">
    <sheetIdMap count="9">
      <sheetId val="1"/>
      <sheetId val="2"/>
      <sheetId val="3"/>
      <sheetId val="4"/>
      <sheetId val="5"/>
      <sheetId val="6"/>
      <sheetId val="7"/>
      <sheetId val="8"/>
      <sheetId val="9"/>
    </sheetIdMap>
  </header>
  <header guid="{8CA296D0-B9C0-4F80-A225-530CA0A6A824}" dateTime="2022-07-01T14:23:57" maxSheetId="10" userName="Полина Личева" r:id="rId44" minRId="188">
    <sheetIdMap count="9">
      <sheetId val="1"/>
      <sheetId val="2"/>
      <sheetId val="3"/>
      <sheetId val="4"/>
      <sheetId val="5"/>
      <sheetId val="6"/>
      <sheetId val="7"/>
      <sheetId val="8"/>
      <sheetId val="9"/>
    </sheetIdMap>
  </header>
  <header guid="{4B2E9C73-712D-4474-A98C-089C6FCEAAC1}" dateTime="2022-07-01T14:41:03" maxSheetId="10" userName="Полина Личева" r:id="rId45" minRId="189">
    <sheetIdMap count="9">
      <sheetId val="1"/>
      <sheetId val="2"/>
      <sheetId val="3"/>
      <sheetId val="4"/>
      <sheetId val="5"/>
      <sheetId val="6"/>
      <sheetId val="7"/>
      <sheetId val="8"/>
      <sheetId val="9"/>
    </sheetIdMap>
  </header>
  <header guid="{3B091D9F-577B-4DCF-9DFE-77D9C0BBFCC7}" dateTime="2022-07-01T14:41:47" maxSheetId="10" userName="Полина Личева" r:id="rId46" minRId="190">
    <sheetIdMap count="9">
      <sheetId val="1"/>
      <sheetId val="2"/>
      <sheetId val="3"/>
      <sheetId val="4"/>
      <sheetId val="5"/>
      <sheetId val="6"/>
      <sheetId val="7"/>
      <sheetId val="8"/>
      <sheetId val="9"/>
    </sheetIdMap>
  </header>
  <header guid="{E926CD5D-FC71-494B-A0BE-3257C9964676}" dateTime="2022-07-04T11:36:48" maxSheetId="10" userName="Елисавета Марашлиева-Нинова" r:id="rId47" minRId="191" maxRId="197">
    <sheetIdMap count="9">
      <sheetId val="1"/>
      <sheetId val="2"/>
      <sheetId val="3"/>
      <sheetId val="4"/>
      <sheetId val="5"/>
      <sheetId val="6"/>
      <sheetId val="7"/>
      <sheetId val="8"/>
      <sheetId val="9"/>
    </sheetIdMap>
  </header>
  <header guid="{2F1694ED-EB81-43F9-8DB4-D9B584E714DF}" dateTime="2022-07-04T11:52:33" maxSheetId="10" userName="Полина Личева" r:id="rId48" minRId="198" maxRId="200">
    <sheetIdMap count="9">
      <sheetId val="1"/>
      <sheetId val="2"/>
      <sheetId val="3"/>
      <sheetId val="4"/>
      <sheetId val="5"/>
      <sheetId val="6"/>
      <sheetId val="7"/>
      <sheetId val="8"/>
      <sheetId val="9"/>
    </sheetIdMap>
  </header>
  <header guid="{08FD066D-A484-4907-9DB6-A2E4F4A4FFA9}" dateTime="2022-07-04T12:01:32" maxSheetId="10" userName="Полина Личева" r:id="rId49" minRId="210" maxRId="211">
    <sheetIdMap count="9">
      <sheetId val="1"/>
      <sheetId val="2"/>
      <sheetId val="3"/>
      <sheetId val="4"/>
      <sheetId val="5"/>
      <sheetId val="6"/>
      <sheetId val="7"/>
      <sheetId val="8"/>
      <sheetId val="9"/>
    </sheetIdMap>
  </header>
  <header guid="{79EB2DCC-6447-44B2-88FC-A15E6AABB018}" dateTime="2022-07-04T12:10:27" maxSheetId="10" userName="Полина Личева" r:id="rId50" minRId="212" maxRId="213">
    <sheetIdMap count="9">
      <sheetId val="1"/>
      <sheetId val="2"/>
      <sheetId val="3"/>
      <sheetId val="4"/>
      <sheetId val="5"/>
      <sheetId val="6"/>
      <sheetId val="7"/>
      <sheetId val="8"/>
      <sheetId val="9"/>
    </sheetIdMap>
  </header>
  <header guid="{0E05F152-EF50-4866-8AE9-4FF2814109C5}" dateTime="2022-07-04T12:11:05" maxSheetId="10" userName="Полина Личева" r:id="rId51" minRId="214">
    <sheetIdMap count="9">
      <sheetId val="1"/>
      <sheetId val="2"/>
      <sheetId val="3"/>
      <sheetId val="4"/>
      <sheetId val="5"/>
      <sheetId val="6"/>
      <sheetId val="7"/>
      <sheetId val="8"/>
      <sheetId val="9"/>
    </sheetIdMap>
  </header>
  <header guid="{32AB563B-D8C8-4862-B75A-D9C4C10162D9}" dateTime="2022-07-04T12:12:37" maxSheetId="10" userName="Полина Личева" r:id="rId52" minRId="215">
    <sheetIdMap count="9">
      <sheetId val="1"/>
      <sheetId val="2"/>
      <sheetId val="3"/>
      <sheetId val="4"/>
      <sheetId val="5"/>
      <sheetId val="6"/>
      <sheetId val="7"/>
      <sheetId val="8"/>
      <sheetId val="9"/>
    </sheetIdMap>
  </header>
  <header guid="{5140B9D3-5E87-4840-AE4E-F417857CE9C9}" dateTime="2022-07-04T16:08:36" maxSheetId="10" userName="Полина Личева" r:id="rId53" minRId="216" maxRId="217">
    <sheetIdMap count="9">
      <sheetId val="1"/>
      <sheetId val="2"/>
      <sheetId val="3"/>
      <sheetId val="4"/>
      <sheetId val="5"/>
      <sheetId val="6"/>
      <sheetId val="7"/>
      <sheetId val="8"/>
      <sheetId val="9"/>
    </sheetIdMap>
  </header>
  <header guid="{13056853-9288-4B81-9604-52017A4201D5}" dateTime="2022-07-04T17:27:38" maxSheetId="10" userName="Полина Личева" r:id="rId54" minRId="218">
    <sheetIdMap count="9">
      <sheetId val="1"/>
      <sheetId val="2"/>
      <sheetId val="3"/>
      <sheetId val="4"/>
      <sheetId val="5"/>
      <sheetId val="6"/>
      <sheetId val="7"/>
      <sheetId val="8"/>
      <sheetId val="9"/>
    </sheetIdMap>
  </header>
  <header guid="{5C9BE433-A408-4C01-A2EB-C3B3A46836B4}" dateTime="2022-07-05T10:02:33" maxSheetId="10" userName="Елисавета Марашлиева-Нинова" r:id="rId55" minRId="228" maxRId="231">
    <sheetIdMap count="9">
      <sheetId val="1"/>
      <sheetId val="2"/>
      <sheetId val="3"/>
      <sheetId val="4"/>
      <sheetId val="5"/>
      <sheetId val="6"/>
      <sheetId val="7"/>
      <sheetId val="8"/>
      <sheetId val="9"/>
    </sheetIdMap>
  </header>
  <header guid="{F4DEACB6-534D-47D4-80CD-4D4CABAC8679}" dateTime="2022-07-07T14:28:02" maxSheetId="10" userName="Полина Личева" r:id="rId56" minRId="241" maxRId="243">
    <sheetIdMap count="9">
      <sheetId val="1"/>
      <sheetId val="2"/>
      <sheetId val="3"/>
      <sheetId val="4"/>
      <sheetId val="5"/>
      <sheetId val="6"/>
      <sheetId val="7"/>
      <sheetId val="8"/>
      <sheetId val="9"/>
    </sheetIdMap>
  </header>
  <header guid="{AAAE4EA8-24BA-4029-91A3-A10B984F9B6E}" dateTime="2022-07-07T14:29:51" maxSheetId="10" userName="Полина Личева" r:id="rId57" minRId="244" maxRId="247">
    <sheetIdMap count="9">
      <sheetId val="1"/>
      <sheetId val="2"/>
      <sheetId val="3"/>
      <sheetId val="4"/>
      <sheetId val="5"/>
      <sheetId val="6"/>
      <sheetId val="7"/>
      <sheetId val="8"/>
      <sheetId val="9"/>
    </sheetIdMap>
  </header>
  <header guid="{354DE746-2333-4DD5-A970-9CEFEBC57488}" dateTime="2022-07-07T14:33:26" maxSheetId="10" userName="Полина Личева" r:id="rId58" minRId="248" maxRId="249">
    <sheetIdMap count="9">
      <sheetId val="1"/>
      <sheetId val="2"/>
      <sheetId val="3"/>
      <sheetId val="4"/>
      <sheetId val="5"/>
      <sheetId val="6"/>
      <sheetId val="7"/>
      <sheetId val="8"/>
      <sheetId val="9"/>
    </sheetIdMap>
  </header>
  <header guid="{69D7BB30-F76F-4155-81E9-2E3F6127F38B}" dateTime="2022-07-07T14:33:54" maxSheetId="10" userName="Полина Личева" r:id="rId59" minRId="250">
    <sheetIdMap count="9">
      <sheetId val="1"/>
      <sheetId val="2"/>
      <sheetId val="3"/>
      <sheetId val="4"/>
      <sheetId val="5"/>
      <sheetId val="6"/>
      <sheetId val="7"/>
      <sheetId val="8"/>
      <sheetId val="9"/>
    </sheetIdMap>
  </header>
  <header guid="{71150526-F2EF-4EBA-8261-3F8778F770EB}" dateTime="2022-07-07T14:34:44" maxSheetId="10" userName="Полина Личева" r:id="rId60" minRId="251">
    <sheetIdMap count="9">
      <sheetId val="1"/>
      <sheetId val="2"/>
      <sheetId val="3"/>
      <sheetId val="4"/>
      <sheetId val="5"/>
      <sheetId val="6"/>
      <sheetId val="7"/>
      <sheetId val="8"/>
      <sheetId val="9"/>
    </sheetIdMap>
  </header>
  <header guid="{6498F0C6-1C70-443A-968E-E152A76E3F7A}" dateTime="2022-07-07T14:36:05" maxSheetId="10" userName="Полина Личева" r:id="rId61" minRId="252" maxRId="255">
    <sheetIdMap count="9">
      <sheetId val="1"/>
      <sheetId val="2"/>
      <sheetId val="3"/>
      <sheetId val="4"/>
      <sheetId val="5"/>
      <sheetId val="6"/>
      <sheetId val="7"/>
      <sheetId val="8"/>
      <sheetId val="9"/>
    </sheetIdMap>
  </header>
  <header guid="{53D4935D-3D92-452A-BA93-C988A0208759}" dateTime="2022-07-07T14:44:07" maxSheetId="10" userName="Полина Личева" r:id="rId62" minRId="256" maxRId="263">
    <sheetIdMap count="9">
      <sheetId val="1"/>
      <sheetId val="2"/>
      <sheetId val="3"/>
      <sheetId val="4"/>
      <sheetId val="5"/>
      <sheetId val="6"/>
      <sheetId val="7"/>
      <sheetId val="8"/>
      <sheetId val="9"/>
    </sheetIdMap>
  </header>
  <header guid="{CCD5F487-518A-4723-9B8F-8D60CFBD598B}" dateTime="2022-07-07T15:15:03" maxSheetId="10" userName="Полина Личева" r:id="rId63" minRId="264" maxRId="304">
    <sheetIdMap count="9">
      <sheetId val="1"/>
      <sheetId val="2"/>
      <sheetId val="3"/>
      <sheetId val="4"/>
      <sheetId val="5"/>
      <sheetId val="6"/>
      <sheetId val="7"/>
      <sheetId val="8"/>
      <sheetId val="9"/>
    </sheetIdMap>
  </header>
  <header guid="{42B459CE-88BC-49D1-A15D-1B83480A2B77}" dateTime="2022-07-07T15:16:49" maxSheetId="10" userName="Полина Личева" r:id="rId64" minRId="305" maxRId="313">
    <sheetIdMap count="9">
      <sheetId val="1"/>
      <sheetId val="2"/>
      <sheetId val="3"/>
      <sheetId val="4"/>
      <sheetId val="5"/>
      <sheetId val="6"/>
      <sheetId val="7"/>
      <sheetId val="8"/>
      <sheetId val="9"/>
    </sheetIdMap>
  </header>
  <header guid="{8A8D745A-8786-476F-A568-25916EA369FF}" dateTime="2022-07-07T15:20:27" maxSheetId="10" userName="Полина Личева" r:id="rId65" minRId="314">
    <sheetIdMap count="9">
      <sheetId val="1"/>
      <sheetId val="2"/>
      <sheetId val="3"/>
      <sheetId val="4"/>
      <sheetId val="5"/>
      <sheetId val="6"/>
      <sheetId val="7"/>
      <sheetId val="8"/>
      <sheetId val="9"/>
    </sheetIdMap>
  </header>
  <header guid="{E552223C-CBDD-4B2C-AB73-3FA84375EED5}" dateTime="2022-07-07T15:26:30" maxSheetId="10" userName="Полина Личева" r:id="rId66" minRId="315" maxRId="324">
    <sheetIdMap count="9">
      <sheetId val="1"/>
      <sheetId val="2"/>
      <sheetId val="3"/>
      <sheetId val="4"/>
      <sheetId val="5"/>
      <sheetId val="6"/>
      <sheetId val="7"/>
      <sheetId val="8"/>
      <sheetId val="9"/>
    </sheetIdMap>
  </header>
  <header guid="{5E12FAE6-5934-45AC-BE32-49DE2D2F69BE}" dateTime="2022-07-07T15:27:16" maxSheetId="10" userName="Полина Личева" r:id="rId67" minRId="325" maxRId="326">
    <sheetIdMap count="9">
      <sheetId val="1"/>
      <sheetId val="2"/>
      <sheetId val="3"/>
      <sheetId val="4"/>
      <sheetId val="5"/>
      <sheetId val="6"/>
      <sheetId val="7"/>
      <sheetId val="8"/>
      <sheetId val="9"/>
    </sheetIdMap>
  </header>
  <header guid="{C71C0E36-9932-48AA-83EF-1617E14FAF27}" dateTime="2022-07-07T15:27:38" maxSheetId="10" userName="Полина Личева" r:id="rId68" minRId="327">
    <sheetIdMap count="9">
      <sheetId val="1"/>
      <sheetId val="2"/>
      <sheetId val="3"/>
      <sheetId val="4"/>
      <sheetId val="5"/>
      <sheetId val="6"/>
      <sheetId val="7"/>
      <sheetId val="8"/>
      <sheetId val="9"/>
    </sheetIdMap>
  </header>
  <header guid="{F0DBBB66-2A0E-413E-B0BA-0DFF32F8BAE9}" dateTime="2022-07-07T15:28:03" maxSheetId="10" userName="Полина Личева" r:id="rId69" minRId="328" maxRId="330">
    <sheetIdMap count="9">
      <sheetId val="1"/>
      <sheetId val="2"/>
      <sheetId val="3"/>
      <sheetId val="4"/>
      <sheetId val="5"/>
      <sheetId val="6"/>
      <sheetId val="7"/>
      <sheetId val="8"/>
      <sheetId val="9"/>
    </sheetIdMap>
  </header>
  <header guid="{FDF0BE44-B4C9-4026-A58E-613CE7358D5A}" dateTime="2022-07-07T15:28:10" maxSheetId="10" userName="Полина Личева" r:id="rId70" minRId="331">
    <sheetIdMap count="9">
      <sheetId val="1"/>
      <sheetId val="2"/>
      <sheetId val="3"/>
      <sheetId val="4"/>
      <sheetId val="5"/>
      <sheetId val="6"/>
      <sheetId val="7"/>
      <sheetId val="8"/>
      <sheetId val="9"/>
    </sheetIdMap>
  </header>
  <header guid="{022C5629-3079-4A62-A731-6D36F56E9676}" dateTime="2022-07-07T15:28:29" maxSheetId="10" userName="Полина Личева" r:id="rId71" minRId="332">
    <sheetIdMap count="9">
      <sheetId val="1"/>
      <sheetId val="2"/>
      <sheetId val="3"/>
      <sheetId val="4"/>
      <sheetId val="5"/>
      <sheetId val="6"/>
      <sheetId val="7"/>
      <sheetId val="8"/>
      <sheetId val="9"/>
    </sheetIdMap>
  </header>
  <header guid="{8BBDF6EF-D0A9-4C84-9F48-409E2315E739}" dateTime="2022-07-07T15:34:52" maxSheetId="10" userName="Полина Личева" r:id="rId72" minRId="333">
    <sheetIdMap count="9">
      <sheetId val="1"/>
      <sheetId val="2"/>
      <sheetId val="3"/>
      <sheetId val="4"/>
      <sheetId val="5"/>
      <sheetId val="6"/>
      <sheetId val="7"/>
      <sheetId val="8"/>
      <sheetId val="9"/>
    </sheetIdMap>
  </header>
  <header guid="{B5E4AEA9-1F55-4DC0-AA8A-F4FAE5328703}" dateTime="2022-07-07T15:47:38" maxSheetId="10" userName="Полина Личева" r:id="rId73" minRId="334">
    <sheetIdMap count="9">
      <sheetId val="1"/>
      <sheetId val="2"/>
      <sheetId val="3"/>
      <sheetId val="4"/>
      <sheetId val="5"/>
      <sheetId val="6"/>
      <sheetId val="7"/>
      <sheetId val="8"/>
      <sheetId val="9"/>
    </sheetIdMap>
  </header>
  <header guid="{B7D327FD-65F2-47C0-AF29-CD7E5F9C19FD}" dateTime="2022-07-07T16:00:00" maxSheetId="10" userName="Полина Личева" r:id="rId74" minRId="335">
    <sheetIdMap count="9">
      <sheetId val="1"/>
      <sheetId val="2"/>
      <sheetId val="3"/>
      <sheetId val="4"/>
      <sheetId val="5"/>
      <sheetId val="6"/>
      <sheetId val="7"/>
      <sheetId val="8"/>
      <sheetId val="9"/>
    </sheetIdMap>
  </header>
  <header guid="{B4927DD9-4101-4612-9BF5-7E3A36692F53}" dateTime="2022-07-07T16:03:14" maxSheetId="10" userName="Полина Личева" r:id="rId75" minRId="336" maxRId="338">
    <sheetIdMap count="9">
      <sheetId val="1"/>
      <sheetId val="2"/>
      <sheetId val="3"/>
      <sheetId val="4"/>
      <sheetId val="5"/>
      <sheetId val="6"/>
      <sheetId val="7"/>
      <sheetId val="8"/>
      <sheetId val="9"/>
    </sheetIdMap>
  </header>
  <header guid="{E1152550-B483-46AA-856F-A851D58A0470}" dateTime="2022-07-07T16:21:50" maxSheetId="10" userName="Полина Личева" r:id="rId76" minRId="339">
    <sheetIdMap count="9">
      <sheetId val="1"/>
      <sheetId val="2"/>
      <sheetId val="3"/>
      <sheetId val="4"/>
      <sheetId val="5"/>
      <sheetId val="6"/>
      <sheetId val="7"/>
      <sheetId val="8"/>
      <sheetId val="9"/>
    </sheetIdMap>
  </header>
  <header guid="{AA2F759E-4063-4C47-9A7A-9C9642779300}" dateTime="2022-07-07T16:43:43" maxSheetId="10" userName="Полина Личева" r:id="rId77" minRId="340">
    <sheetIdMap count="9">
      <sheetId val="1"/>
      <sheetId val="2"/>
      <sheetId val="3"/>
      <sheetId val="4"/>
      <sheetId val="5"/>
      <sheetId val="6"/>
      <sheetId val="7"/>
      <sheetId val="8"/>
      <sheetId val="9"/>
    </sheetIdMap>
  </header>
  <header guid="{0759518B-3AEF-4278-9ED7-728497E26E24}" dateTime="2022-07-07T16:44:18" maxSheetId="10" userName="Полина Личева" r:id="rId78" minRId="341">
    <sheetIdMap count="9">
      <sheetId val="1"/>
      <sheetId val="2"/>
      <sheetId val="3"/>
      <sheetId val="4"/>
      <sheetId val="5"/>
      <sheetId val="6"/>
      <sheetId val="7"/>
      <sheetId val="8"/>
      <sheetId val="9"/>
    </sheetIdMap>
  </header>
  <header guid="{CA70FC2C-C198-4DC6-A5D7-3C21484C2575}" dateTime="2022-07-07T16:44:44" maxSheetId="10" userName="Полина Личева" r:id="rId79" minRId="342">
    <sheetIdMap count="9">
      <sheetId val="1"/>
      <sheetId val="2"/>
      <sheetId val="3"/>
      <sheetId val="4"/>
      <sheetId val="5"/>
      <sheetId val="6"/>
      <sheetId val="7"/>
      <sheetId val="8"/>
      <sheetId val="9"/>
    </sheetIdMap>
  </header>
  <header guid="{38FE17C0-DF9C-49F8-89F2-82D61A88F0E4}" dateTime="2022-07-07T16:45:28" maxSheetId="10" userName="Полина Личева" r:id="rId80" minRId="343">
    <sheetIdMap count="9">
      <sheetId val="1"/>
      <sheetId val="2"/>
      <sheetId val="3"/>
      <sheetId val="4"/>
      <sheetId val="5"/>
      <sheetId val="6"/>
      <sheetId val="7"/>
      <sheetId val="8"/>
      <sheetId val="9"/>
    </sheetIdMap>
  </header>
  <header guid="{7EED885D-FE2D-4BB1-A173-0546ADA22008}" dateTime="2022-07-08T09:36:12" maxSheetId="10" userName="Елисавета Марашлиева-Нинова" r:id="rId81" minRId="344" maxRId="345">
    <sheetIdMap count="9">
      <sheetId val="1"/>
      <sheetId val="2"/>
      <sheetId val="3"/>
      <sheetId val="4"/>
      <sheetId val="5"/>
      <sheetId val="6"/>
      <sheetId val="7"/>
      <sheetId val="8"/>
      <sheetId val="9"/>
    </sheetIdMap>
  </header>
  <header guid="{B88F7E56-3E74-4FC5-B928-9A3BCFECFF35}" dateTime="2022-07-08T14:34:56" maxSheetId="10" userName="Елисавета Марашлиева-Нинова" r:id="rId82" minRId="346" maxRId="447">
    <sheetIdMap count="9">
      <sheetId val="1"/>
      <sheetId val="2"/>
      <sheetId val="3"/>
      <sheetId val="4"/>
      <sheetId val="5"/>
      <sheetId val="6"/>
      <sheetId val="7"/>
      <sheetId val="8"/>
      <sheetId val="9"/>
    </sheetIdMap>
  </header>
  <header guid="{C0A4445C-BC4D-428E-83EB-3D08A41AB917}" dateTime="2022-07-12T11:32:46" maxSheetId="10" userName="Атанас Атанасов" r:id="rId83" minRId="457">
    <sheetIdMap count="9">
      <sheetId val="1"/>
      <sheetId val="2"/>
      <sheetId val="3"/>
      <sheetId val="4"/>
      <sheetId val="5"/>
      <sheetId val="6"/>
      <sheetId val="7"/>
      <sheetId val="8"/>
      <sheetId val="9"/>
    </sheetIdMap>
  </header>
  <header guid="{FC72FF4F-97D0-4D77-B566-2DDBD8EBDC94}" dateTime="2022-07-12T12:24:22" maxSheetId="10" userName="Полина Личева" r:id="rId84" minRId="467" maxRId="480">
    <sheetIdMap count="9">
      <sheetId val="1"/>
      <sheetId val="2"/>
      <sheetId val="3"/>
      <sheetId val="4"/>
      <sheetId val="5"/>
      <sheetId val="6"/>
      <sheetId val="7"/>
      <sheetId val="8"/>
      <sheetId val="9"/>
    </sheetIdMap>
  </header>
  <header guid="{BF811561-EBB5-4AD3-9028-73AA5A277AF5}" dateTime="2022-07-14T08:42:29" maxSheetId="10" userName="Полина Личева" r:id="rId85" minRId="490">
    <sheetIdMap count="9">
      <sheetId val="1"/>
      <sheetId val="2"/>
      <sheetId val="3"/>
      <sheetId val="4"/>
      <sheetId val="5"/>
      <sheetId val="6"/>
      <sheetId val="7"/>
      <sheetId val="8"/>
      <sheetId val="9"/>
    </sheetIdMap>
  </header>
  <header guid="{35B7FFEF-A863-4A37-8EF0-5E99A0915383}" dateTime="2022-07-15T14:16:51" maxSheetId="10" userName="Атанас Атанасов" r:id="rId86" minRId="500">
    <sheetIdMap count="9">
      <sheetId val="1"/>
      <sheetId val="2"/>
      <sheetId val="3"/>
      <sheetId val="4"/>
      <sheetId val="5"/>
      <sheetId val="6"/>
      <sheetId val="7"/>
      <sheetId val="8"/>
      <sheetId val="9"/>
    </sheetIdMap>
  </header>
  <header guid="{031F7538-2125-4989-BDE6-6D314AC37D8D}" dateTime="2022-07-15T14:18:58" maxSheetId="10" userName="Атанас Атанасов" r:id="rId87" minRId="510" maxRId="512">
    <sheetIdMap count="9">
      <sheetId val="1"/>
      <sheetId val="2"/>
      <sheetId val="3"/>
      <sheetId val="4"/>
      <sheetId val="5"/>
      <sheetId val="6"/>
      <sheetId val="7"/>
      <sheetId val="8"/>
      <sheetId val="9"/>
    </sheetIdMap>
  </header>
  <header guid="{E69B8444-5B3C-42A2-BDB3-0826115BC720}" dateTime="2022-07-15T14:19:22" maxSheetId="10" userName="Атанас Атанасов" r:id="rId88" minRId="513">
    <sheetIdMap count="9">
      <sheetId val="1"/>
      <sheetId val="2"/>
      <sheetId val="3"/>
      <sheetId val="4"/>
      <sheetId val="5"/>
      <sheetId val="6"/>
      <sheetId val="7"/>
      <sheetId val="8"/>
      <sheetId val="9"/>
    </sheetIdMap>
  </header>
  <header guid="{7004F0F5-0715-426A-8C21-1A751C390A6B}" dateTime="2022-07-15T14:22:03" maxSheetId="10" userName="Атанас Атанасов" r:id="rId89" minRId="514">
    <sheetIdMap count="9">
      <sheetId val="1"/>
      <sheetId val="2"/>
      <sheetId val="3"/>
      <sheetId val="4"/>
      <sheetId val="5"/>
      <sheetId val="6"/>
      <sheetId val="7"/>
      <sheetId val="8"/>
      <sheetId val="9"/>
    </sheetIdMap>
  </header>
  <header guid="{B5334845-87F3-41EB-81C6-00DE60432D07}" dateTime="2022-07-15T14:27:56" maxSheetId="10" userName="Атанас Атанасов" r:id="rId90">
    <sheetIdMap count="9">
      <sheetId val="1"/>
      <sheetId val="2"/>
      <sheetId val="3"/>
      <sheetId val="4"/>
      <sheetId val="5"/>
      <sheetId val="6"/>
      <sheetId val="7"/>
      <sheetId val="8"/>
      <sheetId val="9"/>
    </sheetIdMap>
  </header>
  <header guid="{B97E38CC-1297-453B-A4D2-2BC94E605344}" dateTime="2022-07-15T16:21:13" maxSheetId="10" userName="Атанас Атанасов" r:id="rId91" minRId="524">
    <sheetIdMap count="9">
      <sheetId val="1"/>
      <sheetId val="2"/>
      <sheetId val="3"/>
      <sheetId val="4"/>
      <sheetId val="5"/>
      <sheetId val="6"/>
      <sheetId val="7"/>
      <sheetId val="8"/>
      <sheetId val="9"/>
    </sheetIdMap>
  </header>
  <header guid="{BE5C4389-AAE0-49B2-B710-EF60570119B0}" dateTime="2022-07-15T16:21:59" maxSheetId="10" userName="Атанас Атанасов" r:id="rId92" minRId="534" maxRId="535">
    <sheetIdMap count="9">
      <sheetId val="1"/>
      <sheetId val="2"/>
      <sheetId val="3"/>
      <sheetId val="4"/>
      <sheetId val="5"/>
      <sheetId val="6"/>
      <sheetId val="7"/>
      <sheetId val="8"/>
      <sheetId val="9"/>
    </sheetIdMap>
  </header>
  <header guid="{C8F7577B-17DC-4DD2-A1C5-F9CB5EC0BEA9}" dateTime="2022-07-15T16:22:12" maxSheetId="10" userName="Атанас Атанасов" r:id="rId93" minRId="536">
    <sheetIdMap count="9">
      <sheetId val="1"/>
      <sheetId val="2"/>
      <sheetId val="3"/>
      <sheetId val="4"/>
      <sheetId val="5"/>
      <sheetId val="6"/>
      <sheetId val="7"/>
      <sheetId val="8"/>
      <sheetId val="9"/>
    </sheetIdMap>
  </header>
  <header guid="{C5D0FFE8-38CA-494A-94D0-A7EEDA8DCA45}" dateTime="2022-07-15T16:36:41" maxSheetId="10" userName="Programming &amp; Contracting Department, OPGG" r:id="rId94" minRId="537">
    <sheetIdMap count="9">
      <sheetId val="1"/>
      <sheetId val="2"/>
      <sheetId val="3"/>
      <sheetId val="4"/>
      <sheetId val="5"/>
      <sheetId val="6"/>
      <sheetId val="7"/>
      <sheetId val="8"/>
      <sheetId val="9"/>
    </sheetIdMap>
  </header>
  <header guid="{E86EE102-7B1A-486C-9C65-13497A339A90}" dateTime="2022-07-18T10:12:47" maxSheetId="10" userName="Полина Личева" r:id="rId95" minRId="547">
    <sheetIdMap count="9">
      <sheetId val="1"/>
      <sheetId val="2"/>
      <sheetId val="3"/>
      <sheetId val="4"/>
      <sheetId val="5"/>
      <sheetId val="6"/>
      <sheetId val="7"/>
      <sheetId val="8"/>
      <sheetId val="9"/>
    </sheetIdMap>
  </header>
  <header guid="{11A6A8CA-049D-478D-BDD9-710AC15C687F}" dateTime="2022-07-18T10:13:41" maxSheetId="10" userName="Полина Личева" r:id="rId96" minRId="548">
    <sheetIdMap count="9">
      <sheetId val="1"/>
      <sheetId val="2"/>
      <sheetId val="3"/>
      <sheetId val="4"/>
      <sheetId val="5"/>
      <sheetId val="6"/>
      <sheetId val="7"/>
      <sheetId val="8"/>
      <sheetId val="9"/>
    </sheetIdMap>
  </header>
  <header guid="{0FA07A2F-2879-4403-8BD7-EB09AB0CB170}" dateTime="2022-07-18T10:55:09" maxSheetId="10" userName="Полина Личева" r:id="rId97" minRId="549" maxRId="550">
    <sheetIdMap count="9">
      <sheetId val="1"/>
      <sheetId val="2"/>
      <sheetId val="3"/>
      <sheetId val="4"/>
      <sheetId val="5"/>
      <sheetId val="6"/>
      <sheetId val="7"/>
      <sheetId val="8"/>
      <sheetId val="9"/>
    </sheetIdMap>
  </header>
  <header guid="{1B7D6767-AED9-4154-A02D-9CC0C2EF350A}" dateTime="2022-07-18T11:09:53" maxSheetId="10" userName="Полина Личева" r:id="rId98" minRId="551">
    <sheetIdMap count="9">
      <sheetId val="1"/>
      <sheetId val="2"/>
      <sheetId val="3"/>
      <sheetId val="4"/>
      <sheetId val="5"/>
      <sheetId val="6"/>
      <sheetId val="7"/>
      <sheetId val="8"/>
      <sheetId val="9"/>
    </sheetIdMap>
  </header>
  <header guid="{88A0B168-DE9C-4CCC-A682-61FA85EC3196}" dateTime="2022-07-18T12:36:09" maxSheetId="10" userName="Полина Личева" r:id="rId99" minRId="552" maxRId="553">
    <sheetIdMap count="9">
      <sheetId val="1"/>
      <sheetId val="2"/>
      <sheetId val="3"/>
      <sheetId val="4"/>
      <sheetId val="5"/>
      <sheetId val="6"/>
      <sheetId val="7"/>
      <sheetId val="8"/>
      <sheetId val="9"/>
    </sheetIdMap>
  </header>
  <header guid="{665C1A5C-C9BF-45A3-805B-525485CF271A}" dateTime="2022-07-18T12:49:58" maxSheetId="10" userName="Полина Личева" r:id="rId100" minRId="554" maxRId="555">
    <sheetIdMap count="9">
      <sheetId val="1"/>
      <sheetId val="2"/>
      <sheetId val="3"/>
      <sheetId val="4"/>
      <sheetId val="5"/>
      <sheetId val="6"/>
      <sheetId val="7"/>
      <sheetId val="8"/>
      <sheetId val="9"/>
    </sheetIdMap>
  </header>
  <header guid="{334EBDFC-7209-4AC0-A48F-3933826667CC}" dateTime="2022-07-18T13:02:00" maxSheetId="10" userName="Полина Личева" r:id="rId101" minRId="565" maxRId="566">
    <sheetIdMap count="9">
      <sheetId val="1"/>
      <sheetId val="2"/>
      <sheetId val="3"/>
      <sheetId val="4"/>
      <sheetId val="5"/>
      <sheetId val="6"/>
      <sheetId val="7"/>
      <sheetId val="8"/>
      <sheetId val="9"/>
    </sheetIdMap>
  </header>
  <header guid="{5438E046-F984-4A65-9140-6A0CCD5D4E50}" dateTime="2022-07-18T13:21:39" maxSheetId="10" userName="Полина Личева" r:id="rId102" minRId="567" maxRId="569">
    <sheetIdMap count="9">
      <sheetId val="1"/>
      <sheetId val="2"/>
      <sheetId val="3"/>
      <sheetId val="4"/>
      <sheetId val="5"/>
      <sheetId val="6"/>
      <sheetId val="7"/>
      <sheetId val="8"/>
      <sheetId val="9"/>
    </sheetIdMap>
  </header>
  <header guid="{97D1C81B-3299-4974-8234-EE9F8CEF709A}" dateTime="2022-07-18T13:24:31" maxSheetId="10" userName="Полина Личева" r:id="rId103">
    <sheetIdMap count="9">
      <sheetId val="1"/>
      <sheetId val="2"/>
      <sheetId val="3"/>
      <sheetId val="4"/>
      <sheetId val="5"/>
      <sheetId val="6"/>
      <sheetId val="7"/>
      <sheetId val="8"/>
      <sheetId val="9"/>
    </sheetIdMap>
  </header>
  <header guid="{42AAB8E5-47AE-4F06-AE2A-871AD4D19D25}" dateTime="2022-07-18T14:10:19" maxSheetId="10" userName="Полина Личева" r:id="rId104" minRId="579" maxRId="588">
    <sheetIdMap count="9">
      <sheetId val="1"/>
      <sheetId val="2"/>
      <sheetId val="3"/>
      <sheetId val="4"/>
      <sheetId val="5"/>
      <sheetId val="6"/>
      <sheetId val="7"/>
      <sheetId val="8"/>
      <sheetId val="9"/>
    </sheetIdMap>
  </header>
  <header guid="{C8FA3CB2-2F1F-4147-BED9-21DD58BFFD20}" dateTime="2022-07-18T14:42:09" maxSheetId="10" userName="Елисавета Марашлиева-Нинова" r:id="rId105" minRId="598" maxRId="607">
    <sheetIdMap count="9">
      <sheetId val="1"/>
      <sheetId val="2"/>
      <sheetId val="3"/>
      <sheetId val="4"/>
      <sheetId val="5"/>
      <sheetId val="6"/>
      <sheetId val="7"/>
      <sheetId val="8"/>
      <sheetId val="9"/>
    </sheetIdMap>
  </header>
  <header guid="{7CDD3281-542B-4F0C-B61A-0D2D6B55CF2C}" dateTime="2022-07-18T15:25:32" maxSheetId="10" userName="Елисавета Марашлиева-Нинова" r:id="rId106" minRId="617" maxRId="628">
    <sheetIdMap count="9">
      <sheetId val="1"/>
      <sheetId val="2"/>
      <sheetId val="3"/>
      <sheetId val="4"/>
      <sheetId val="5"/>
      <sheetId val="6"/>
      <sheetId val="7"/>
      <sheetId val="8"/>
      <sheetId val="9"/>
    </sheetIdMap>
  </header>
  <header guid="{50B7A638-05EB-4DD6-A2DD-82A74C5C3C41}" dateTime="2022-07-18T15:36:26" maxSheetId="10" userName="Елисавета Марашлиева-Нинова" r:id="rId107" minRId="638" maxRId="660">
    <sheetIdMap count="9">
      <sheetId val="1"/>
      <sheetId val="2"/>
      <sheetId val="3"/>
      <sheetId val="4"/>
      <sheetId val="5"/>
      <sheetId val="6"/>
      <sheetId val="7"/>
      <sheetId val="8"/>
      <sheetId val="9"/>
    </sheetIdMap>
  </header>
  <header guid="{159C7669-5640-4653-BA94-07EC92D9BAC8}" dateTime="2022-07-18T15:38:32" maxSheetId="10" userName="Елисавета Марашлиева-Нинова" r:id="rId108" minRId="661" maxRId="663">
    <sheetIdMap count="9">
      <sheetId val="1"/>
      <sheetId val="2"/>
      <sheetId val="3"/>
      <sheetId val="4"/>
      <sheetId val="5"/>
      <sheetId val="6"/>
      <sheetId val="7"/>
      <sheetId val="8"/>
      <sheetId val="9"/>
    </sheetIdMap>
  </header>
  <header guid="{EEB91486-5A26-416C-B835-8EAC769565CC}" dateTime="2022-07-18T15:40:15" maxSheetId="10" userName="Елисавета Марашлиева-Нинова" r:id="rId109" minRId="664" maxRId="665">
    <sheetIdMap count="9">
      <sheetId val="1"/>
      <sheetId val="2"/>
      <sheetId val="3"/>
      <sheetId val="4"/>
      <sheetId val="5"/>
      <sheetId val="6"/>
      <sheetId val="7"/>
      <sheetId val="8"/>
      <sheetId val="9"/>
    </sheetIdMap>
  </header>
  <header guid="{E35DDCC2-CFD0-466D-AAFA-A80D06799E98}" dateTime="2022-07-18T15:40:21" maxSheetId="10" userName="Полина Личева" r:id="rId110" minRId="666" maxRId="668">
    <sheetIdMap count="9">
      <sheetId val="1"/>
      <sheetId val="2"/>
      <sheetId val="3"/>
      <sheetId val="4"/>
      <sheetId val="5"/>
      <sheetId val="6"/>
      <sheetId val="7"/>
      <sheetId val="8"/>
      <sheetId val="9"/>
    </sheetIdMap>
  </header>
  <header guid="{021A467D-9167-4185-9D31-070847D801FA}" dateTime="2022-07-18T15:52:37" maxSheetId="10" userName="Елисавета Марашлиева-Нинова" r:id="rId111" minRId="669" maxRId="672">
    <sheetIdMap count="9">
      <sheetId val="1"/>
      <sheetId val="2"/>
      <sheetId val="3"/>
      <sheetId val="4"/>
      <sheetId val="5"/>
      <sheetId val="6"/>
      <sheetId val="7"/>
      <sheetId val="8"/>
      <sheetId val="9"/>
    </sheetIdMap>
  </header>
  <header guid="{CEAE22DC-708A-4517-ABD1-C92361EE917F}" dateTime="2022-07-18T16:04:00" maxSheetId="10" userName="Елисавета Марашлиева-Нинова" r:id="rId112" minRId="682" maxRId="698">
    <sheetIdMap count="9">
      <sheetId val="1"/>
      <sheetId val="2"/>
      <sheetId val="3"/>
      <sheetId val="4"/>
      <sheetId val="5"/>
      <sheetId val="6"/>
      <sheetId val="7"/>
      <sheetId val="8"/>
      <sheetId val="9"/>
    </sheetIdMap>
  </header>
  <header guid="{982F7C40-9C97-42F0-A882-D740DCA77A87}" dateTime="2022-07-22T15:14:32" maxSheetId="10" userName="Даниела Николова" r:id="rId113">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'!$A$1:$F$65</formula>
    <oldFormula>'ПОКАЗАТЕЛИ ПТП '!$A$1:$F$65</oldFormula>
  </rdn>
  <rdn rId="0" localSheetId="4" customView="1" name="Z_B426F9F8_EB1A_4D7B_9478_7E22D414CC12_.wvu.FilterData" hidden="1" oldHidden="1">
    <formula>'ПОКАЗАТЕЛИ ПТП '!$A$1:$M$67</formula>
    <oldFormula>'ПОКАЗАТЕЛИ ПТП '!$A$1:$M$67</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4" sId="4">
    <oc r="H48" t="inlineStr">
      <is>
        <t>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t>
      </is>
    </oc>
    <nc r="H48" t="inlineStr">
      <is>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разпространение на резултатите от извършените анализи с цел повишаване на доверието в Системата; </t>
        </r>
        <r>
          <rPr>
            <sz val="9"/>
            <rFont val="Times New Roman"/>
            <family val="1"/>
            <charset val="204"/>
          </rPr>
          <t xml:space="preserve">
</t>
        </r>
      </is>
    </nc>
  </rcc>
  <rcc rId="555" sId="4">
    <oc r="H51" t="inlineStr">
      <is>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is>
    </oc>
    <nc r="H51" t="inlineStr">
      <is>
        <r>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r>
        <r>
          <rPr>
            <sz val="9"/>
            <color rgb="FFFF0000"/>
            <rFont val="Times New Roman"/>
            <family val="1"/>
            <charset val="204"/>
          </rPr>
          <t>4. Съвместни проекти/дейности по изпълнение на политики, с акцент върху дигитализация и зеления преход, като оценка на нуждите, предложение, обучение, мониторинг и обратна връзка;
5. Провеждане на позитивни кампании, насочени към популяризиране на ефекта от подкрепата на фондовете, с акцент на интервенциите, свързани с климата, създаване на проактивни граждански общности, които да противодействат на лесно разрастващи се явления в кризисни ситуации, като: език на омразата, разпространение на фалшива информация, разпадане на ценности и агресия.</t>
        </r>
        <r>
          <rPr>
            <sz val="9"/>
            <rFont val="Times New Roman"/>
            <family val="1"/>
            <charset val="204"/>
          </rPr>
          <t xml:space="preserve">
</t>
        </r>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5" sId="4">
    <oc r="H48" t="inlineStr">
      <is>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разпространение на резултатите от извършените анализи с цел повишаване на доверието в Системата; </t>
        </r>
        <r>
          <rPr>
            <sz val="9"/>
            <rFont val="Times New Roman"/>
            <family val="1"/>
            <charset val="204"/>
          </rPr>
          <t xml:space="preserve">
</t>
        </r>
      </is>
    </oc>
    <nc r="H48" t="inlineStr">
      <is>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и  разпространение на резултатите от извършените анализи с цел повишаване на доверието в Системата; </t>
        </r>
        <r>
          <rPr>
            <sz val="9"/>
            <rFont val="Times New Roman"/>
            <family val="1"/>
            <charset val="204"/>
          </rPr>
          <t xml:space="preserve">
</t>
        </r>
      </is>
    </nc>
  </rcc>
  <rcc rId="566" sId="4">
    <oc r="H51" t="inlineStr">
      <is>
        <r>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r>
        <r>
          <rPr>
            <sz val="9"/>
            <color rgb="FFFF0000"/>
            <rFont val="Times New Roman"/>
            <family val="1"/>
            <charset val="204"/>
          </rPr>
          <t>4. Съвместни проекти/дейности по изпълнение на политики, с акцент върху дигитализация и зеления преход, като оценка на нуждите, предложение, обучение, мониторинг и обратна връзка;
5. Провеждане на позитивни кампании, насочени към популяризиране на ефекта от подкрепата на фондовете, с акцент на интервенциите, свързани с климата, създаване на проактивни граждански общности, които да противодействат на лесно разрастващи се явления в кризисни ситуации, като: език на омразата, разпространение на фалшива информация, разпадане на ценности и агресия.</t>
        </r>
        <r>
          <rPr>
            <sz val="9"/>
            <rFont val="Times New Roman"/>
            <family val="1"/>
            <charset val="204"/>
          </rPr>
          <t xml:space="preserve">
</t>
        </r>
      </is>
    </oc>
    <nc r="H51" t="inlineStr">
      <is>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t>
        </r>
      </is>
    </nc>
  </rcc>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7" sId="4">
    <oc r="H51" t="inlineStr">
      <is>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t>
        </r>
      </is>
    </oc>
    <nc r="H51" t="inlineStr">
      <is>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5
</t>
        </r>
      </is>
    </nc>
  </rcc>
  <rcc rId="568" sId="4">
    <oc r="H57"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t>
      </is>
    </oc>
    <nc r="H57" t="inlineStr">
      <is>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4. Осигуряване на прозрачност за предприетите действия във връзка със сигнали/нередности и измами със средства от фондовете на ЕС. </t>
      </is>
    </nc>
  </rcc>
  <rcc rId="569" sId="4">
    <oc r="H60" t="inlineStr">
      <is>
        <t xml:space="preserve">1. Разработване, надграждане, поддръжка и своевременно актуализиране на Единния информационен портал eufunds.bg. </t>
      </is>
    </oc>
    <nc r="H60" t="inlineStr">
      <is>
        <t>1. Развитие на www.eufunds.bg чрез разработване и добавяне на:
- огледална версия за програмен период 2021+; 
- заявка за ел. бюлетин чрез бутон „RRS съобщения“; 
- адаптиране за хора със зрителни увреждания; 
- текуща актуализация за двата периода с фокус върху подхода ИТИ; 
- разпространение на информация и добри практики относно стратегиите за постигане на устойчивост към изменението на климата, особено на регионално равнище и др.</t>
      </is>
    </nc>
  </rcc>
  <rfmt sheetId="4" sqref="H60" start="0" length="2147483647">
    <dxf>
      <font>
        <color rgb="FFFF0000"/>
      </font>
    </dxf>
  </rfmt>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9" sId="4">
    <oc r="H75" t="inlineStr">
      <is>
        <t>Общо (европейско + национално съфинансиране) (BGN)</t>
      </is>
    </oc>
    <nc r="H75"/>
  </rcc>
  <rcc rId="580" sId="4">
    <oc r="G76" t="inlineStr">
      <is>
        <t>СЦ 1. Оптимизиране на средата за изпълнение на СП</t>
      </is>
    </oc>
    <nc r="G76"/>
  </rcc>
  <rcc rId="581" sId="4">
    <oc r="H76">
      <f>L3+L6+L9+L12+L15+L18+L21+L24+L27+L30</f>
    </oc>
    <nc r="H76"/>
  </rcc>
  <rcc rId="582" sId="4">
    <oc r="G77" t="inlineStr">
      <is>
        <t>СЦ 2. Укрепване на капацитета на органите, бенефициентите и партньорите</t>
      </is>
    </oc>
    <nc r="G77"/>
  </rcc>
  <rcc rId="583" sId="4">
    <oc r="H77">
      <f>L33+L36+L39+L42+L45</f>
    </oc>
    <nc r="H77"/>
  </rcc>
  <rcc rId="584" sId="4">
    <oc r="G78" t="inlineStr">
      <is>
        <t>СЦ 3. Ангажиране на СИП и ОГО за добро управление на фондовете</t>
      </is>
    </oc>
    <nc r="G78"/>
  </rcc>
  <rcc rId="585" sId="4">
    <oc r="H78">
      <f>L48+L51</f>
    </oc>
    <nc r="H78"/>
  </rcc>
  <rcc rId="586" sId="4">
    <oc r="G79" t="inlineStr">
      <is>
        <t>СЦ 4. Прозрачност, ефективна комуникация и популяризиране на подкрепата от фондовете и постигнатите резултати</t>
      </is>
    </oc>
    <nc r="G79"/>
  </rcc>
  <rcc rId="587" sId="4">
    <oc r="H79">
      <f>L57+L60+L63+L66</f>
    </oc>
    <nc r="H79"/>
  </rcc>
  <rcc rId="588" sId="4">
    <oc r="H80">
      <f>SUM(H76:H79)</f>
    </oc>
    <nc r="H80"/>
  </rcc>
  <rfmt sheetId="4" sqref="G74:I83">
    <dxf>
      <fill>
        <patternFill>
          <bgColor theme="0"/>
        </patternFill>
      </fill>
    </dxf>
  </rfmt>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98" sId="4">
    <o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599" sId="4">
    <o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fmt sheetId="4" sqref="C18:D18">
    <dxf>
      <alignment horizontal="center" readingOrder="0"/>
    </dxf>
  </rfmt>
  <rfmt sheetId="4" sqref="C18:D18" start="0" length="2147483647">
    <dxf>
      <font>
        <i val="0"/>
      </font>
    </dxf>
  </rfmt>
  <rcc rId="600" sId="4">
    <oc r="E18" t="inlineStr">
      <is>
        <r>
          <t xml:space="preserve">Надградена, внедрена, </t>
        </r>
        <r>
          <rPr>
            <sz val="9"/>
            <color rgb="FFFF0000"/>
            <rFont val="Times New Roman"/>
            <family val="1"/>
            <charset val="204"/>
          </rPr>
          <t>функциониращ</t>
        </r>
        <r>
          <rPr>
            <sz val="9"/>
            <rFont val="Times New Roman"/>
            <family val="1"/>
            <charset val="204"/>
          </rPr>
          <t xml:space="preserve">а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is>
    </oc>
    <nc r="E18" t="inlineStr">
      <is>
        <r>
          <t xml:space="preserve">Надградена, внедрена, </t>
        </r>
        <r>
          <rPr>
            <sz val="9"/>
            <color rgb="FFFF0000"/>
            <rFont val="Times New Roman"/>
            <family val="1"/>
            <charset val="204"/>
          </rPr>
          <t>функционираща</t>
        </r>
        <r>
          <rPr>
            <sz val="9"/>
            <rFont val="Times New Roman"/>
            <family val="1"/>
            <charset val="204"/>
          </rPr>
          <t xml:space="preserve">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is>
    </nc>
  </rcc>
  <rcc rId="601" sId="4">
    <oc r="H18" t="inlineStr">
      <is>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фонодвете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 изясняване.
</t>
      </is>
    </oc>
    <nc r="H18" t="inlineStr">
      <is>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фонодвете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
</t>
      </is>
    </nc>
  </rcc>
  <rfmt sheetId="4" sqref="C24:D24 C21:D21" start="0" length="2147483647">
    <dxf>
      <font>
        <color rgb="FFFF0000"/>
      </font>
    </dxf>
  </rfmt>
  <rcc rId="602" sId="4">
    <oc r="E24" t="inlineStr">
      <is>
        <r>
          <t>Индикаторът измерва процентното намаление</t>
        </r>
        <r>
          <rPr>
            <strike/>
            <sz val="9"/>
            <rFont val="Times New Roman"/>
            <family val="1"/>
            <charset val="204"/>
          </rPr>
          <t xml:space="preserve"> </t>
        </r>
        <r>
          <rPr>
            <sz val="9"/>
            <rFont val="Times New Roman"/>
            <family val="1"/>
            <charset val="204"/>
          </rPr>
          <t xml:space="preserve">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 
</t>
        </r>
      </is>
    </oc>
    <nc r="E24" t="inlineStr">
      <is>
        <r>
          <t>Индикаторът измерва процентното намаление</t>
        </r>
        <r>
          <rPr>
            <strike/>
            <sz val="9"/>
            <rFont val="Times New Roman"/>
            <family val="1"/>
            <charset val="204"/>
          </rPr>
          <t xml:space="preserve"> </t>
        </r>
        <r>
          <rPr>
            <sz val="9"/>
            <rFont val="Times New Roman"/>
            <family val="1"/>
            <charset val="204"/>
          </rPr>
          <t xml:space="preserve">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is>
    </nc>
  </rcc>
  <rfmt sheetId="4" sqref="F24" start="0" length="2147483647">
    <dxf>
      <font>
        <color rgb="FFFF0000"/>
      </font>
    </dxf>
  </rfmt>
  <rcc rId="603"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nc>
  </rcc>
  <rcc rId="604" sId="4">
    <oc r="F21" t="inlineStr">
      <is>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is>
    </oc>
    <nc r="F21" t="inlineStr">
      <is>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is>
    </nc>
  </rcc>
  <rfmt sheetId="4" sqref="C27:D27" start="0" length="2147483647">
    <dxf>
      <font>
        <color rgb="FFFF0000"/>
      </font>
    </dxf>
  </rfmt>
  <rfmt sheetId="4" sqref="F27" start="0" length="2147483647">
    <dxf>
      <font>
        <color rgb="FFFF0000"/>
      </font>
    </dxf>
  </rfmt>
  <rcc rId="605" sId="4">
    <o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всични отчетни периоди в периода 2023-2029
</t>
      </is>
    </oc>
    <n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всични отчетни периоди в периода 2023-2029.
</t>
      </is>
    </nc>
  </rcc>
  <rcc rId="606" sId="4">
    <oc r="A30" t="inlineStr">
      <is>
        <t>(О1-10) Служители на Системата, чиито възнаграждения се възстановяват</t>
      </is>
    </oc>
    <nc r="A30" t="inlineStr">
      <is>
        <r>
          <t xml:space="preserve">(О1-10) </t>
        </r>
        <r>
          <rPr>
            <b/>
            <sz val="9"/>
            <color rgb="FFFF0000"/>
            <rFont val="Times New Roman"/>
            <family val="1"/>
            <charset val="204"/>
          </rPr>
          <t>Служители на Системата, чиито възнаграждения се възстановяват</t>
        </r>
      </is>
    </nc>
  </rcc>
  <rcc rId="607" sId="4">
    <oc r="E30" t="inlineStr">
      <is>
        <r>
          <t xml:space="preserve">Брой служители на хоризонтално ниво в органи/ звена от Системата на служебно или трудово правоотношение), вкл. служители на УО на ПТП, чиито възнаграждения се възстановяват по програмата </t>
        </r>
        <r>
          <rPr>
            <sz val="9"/>
            <color rgb="FFFF0000"/>
            <rFont val="Times New Roman"/>
            <family val="1"/>
            <charset val="204"/>
          </rPr>
          <t>при еквивалент на пълна заетост.</t>
        </r>
      </is>
    </oc>
    <nc r="E30" t="inlineStr">
      <is>
        <r>
          <t xml:space="preserve">Брой служители на хоризонтално ниво в органи/звена от Системата на служебно или трудово правоотношение), вкл. служители на УО на ПТП, чиито възнаграждения се възстановяват по програмата </t>
        </r>
        <r>
          <rPr>
            <sz val="9"/>
            <color rgb="FFFF0000"/>
            <rFont val="Times New Roman"/>
            <family val="1"/>
            <charset val="204"/>
          </rPr>
          <t>при еквивалент на пълна заетост.</t>
        </r>
      </is>
    </nc>
  </rcc>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'!$A$1:$F$68</formula>
    <oldFormula>'ПОКАЗАТЕЛИ ПТП '!$A$1:$F$68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7" sId="4">
    <o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618" sId="4">
    <oc r="H33" t="inlineStr">
      <is>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is>
    </oc>
    <nc r="H33" t="inlineStr">
      <is>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лектори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is>
    </nc>
  </rcc>
  <rcc rId="619" sId="4">
    <oc r="I33" t="inlineStr">
      <is>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is>
    </oc>
    <nc r="I33" t="inlineStr">
      <is>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is>
    </nc>
  </rcc>
  <rcc rId="620" sId="4">
    <o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is>
    </oc>
    <n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is>
    </nc>
  </rcc>
  <rcc rId="621" sId="4">
    <oc r="H45" t="inlineStr">
      <is>
        <t xml:space="preserve">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is>
    </oc>
    <nc r="H45" t="inlineStr">
      <is>
        <t xml:space="preserve">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is>
    </nc>
  </rcc>
  <rfmt sheetId="4" sqref="C1:D1048576">
    <dxf>
      <alignment horizontal="general" readingOrder="0"/>
    </dxf>
  </rfmt>
  <rfmt sheetId="4" sqref="C1:D1048576">
    <dxf>
      <alignment horizontal="center" readingOrder="0"/>
    </dxf>
  </rfmt>
  <rcc rId="622" sId="4">
    <oc r="H51" t="inlineStr">
      <is>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5
</t>
        </r>
      </is>
    </oc>
    <nc r="H51" t="inlineStr">
      <is>
        <r>
          <t>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t>
        </r>
        <r>
          <rPr>
            <sz val="9"/>
            <color rgb="FFFF0000"/>
            <rFont val="Times New Roman"/>
            <family val="1"/>
            <charset val="204"/>
          </rPr>
          <t>.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t>
        </r>
        <r>
          <rPr>
            <sz val="9"/>
            <rFont val="Times New Roman"/>
            <family val="1"/>
            <charset val="204"/>
          </rPr>
          <t xml:space="preserve">
</t>
        </r>
      </is>
    </nc>
  </rcc>
  <rcc rId="623" sId="4">
    <oc r="H54" t="inlineStr">
      <is>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НПО на всики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is>
    </oc>
    <nc r="H54" t="inlineStr">
      <is>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на НПО на всички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is>
    </nc>
  </rcc>
  <rfmt sheetId="4" sqref="K54:L54" start="0" length="2147483647">
    <dxf>
      <font>
        <color rgb="FFFF0000"/>
      </font>
    </dxf>
  </rfmt>
  <rcc rId="624" sId="4">
    <oc r="H57" t="inlineStr">
      <is>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4. Осигуряване на прозрачност за предприетите действия във връзка със сигнали/нередности и измами със средства от фондовете на ЕС. </t>
      </is>
    </oc>
    <nc r="H57" t="inlineStr">
      <is>
        <r>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t>
        </r>
        <r>
          <rPr>
            <sz val="9"/>
            <color rgb="FFFF0000"/>
            <rFont val="Times New Roman"/>
            <family val="1"/>
            <charset val="204"/>
          </rPr>
          <t xml:space="preserve">4. Осигуряване на прозрачност за предприетите действия във връзка със сигнали/нередности и измами със средства от фондовете на ЕС. </t>
        </r>
      </is>
    </nc>
  </rcc>
  <rcc rId="625" sId="4">
    <oc r="F57"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присъсвени,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is>
    </oc>
    <nc r="F57" t="inlineStr">
      <is>
        <t>Всеки бенефициента предоставя текущона УО информация за проведените събития през отчетния период заедно с доказателства относно тяхното провеждане. 
Отчитат се присъсвени,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is>
    </nc>
  </rcc>
  <rcc rId="626" sId="4">
    <oc r="E57" t="inlineStr">
      <is>
        <r>
          <t xml:space="preserve">Отчитат се традиционни и иновативни форми на обществени консултации, медиации и информационни събития, проведени: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7" t="inlineStr">
      <is>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cc rId="627" sId="4">
    <oc r="A57" t="inlineStr">
      <is>
        <t>(О4-1‭) Обществени консултации, медиации и презентации</t>
      </is>
    </oc>
    <nc r="A57" t="inlineStr">
      <is>
        <r>
          <t xml:space="preserve">(О4-1‭) </t>
        </r>
        <r>
          <rPr>
            <b/>
            <sz val="9"/>
            <color rgb="FFFF0000"/>
            <rFont val="Times New Roman"/>
            <family val="1"/>
            <charset val="204"/>
          </rPr>
          <t>Обществени консултации, медиации и презентации</t>
        </r>
      </is>
    </nc>
  </rcc>
  <rcc rId="628" sId="4">
    <o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'!$A$1:$F$68</formula>
    <oldFormula>'ПОКАЗАТЕЛИ ПТП '!$A$1:$F$68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8" sId="4">
    <o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639" sId="4">
    <oc r="E48" t="inlineStr">
      <is>
        <t xml:space="preserve">Брой ОГО и СИП (бенефициент или партньор) подкрепени за:
- събиране, обощаване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is>
    </oc>
    <nc r="E48" t="inlineStr">
      <is>
        <t xml:space="preserve">Брой ОГО и СИП (бенефициент или партньор) подкрепени за:
- събиране, обобщаване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is>
    </nc>
  </rcc>
  <rcc rId="640" sId="4">
    <oc r="H48" t="inlineStr">
      <is>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и  разпространение на резултатите от извършените анализи с цел повишаване на доверието в Системата; </t>
        </r>
        <r>
          <rPr>
            <sz val="9"/>
            <rFont val="Times New Roman"/>
            <family val="1"/>
            <charset val="204"/>
          </rPr>
          <t xml:space="preserve">
</t>
        </r>
      </is>
    </oc>
    <nc r="H48" t="inlineStr">
      <is>
        <r>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мониторинг и събраните данни </t>
        </r>
        <r>
          <rPr>
            <sz val="9"/>
            <color rgb="FFFF0000"/>
            <rFont val="Times New Roman"/>
            <family val="1"/>
            <charset val="204"/>
          </rPr>
          <t>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t>
        </r>
        <r>
          <rPr>
            <sz val="9"/>
            <rFont val="Times New Roman"/>
            <family val="1"/>
            <charset val="204"/>
          </rPr>
          <t xml:space="preserve">;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t>
        </r>
        <r>
          <rPr>
            <sz val="9"/>
            <color rgb="FFFF0000"/>
            <rFont val="Times New Roman"/>
            <family val="1"/>
            <charset val="204"/>
          </rPr>
          <t xml:space="preserve">Насърчаване на активното използване на отворени данни за изпълнението на програмите по СП от ОГО, СИП и академичните среди и  разпространение на резултатите от извършените анализи с цел повишаване на доверието в Системата; </t>
        </r>
        <r>
          <rPr>
            <sz val="9"/>
            <rFont val="Times New Roman"/>
            <family val="1"/>
            <charset val="204"/>
          </rPr>
          <t xml:space="preserve">
</t>
        </r>
      </is>
    </nc>
  </rcc>
  <rcc rId="641" sId="4">
    <oc r="E54" t="inlineStr">
      <is>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стойсност или най-голяма сложност или с най-висок обществен интерес, която спомага за постигане на основната цел на проекта. </t>
      </is>
    </oc>
    <nc r="E54" t="inlineStr">
      <is>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стойност или най-голяма сложност или с най-висок обществен интерес, която спомага за постигане на основната цел на проекта. </t>
      </is>
    </nc>
  </rcc>
  <rcc rId="642" sId="4">
    <oc r="J1" t="inlineStr">
      <is>
        <t xml:space="preserve">Вид интервенции и индикативно разпределнеие на ресурсите по ПТП повид интервенция или област на подкрепа </t>
      </is>
    </oc>
    <nc r="J1" t="inlineStr">
      <is>
        <t xml:space="preserve">Вид интервенции и индикативно разпределение на ресурсите по ПТП по вид интервенция или област на подкрепа </t>
      </is>
    </nc>
  </rcc>
  <rcc rId="643" sId="4">
    <o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644" sId="4">
    <oc r="E9" t="inlineStr">
      <is>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конторла на ЕСИФ/фондовете на РОР. </t>
      </is>
    </oc>
    <nc r="E9" t="inlineStr">
      <is>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контрола на ЕСИФ/фондовете на РОР. </t>
      </is>
    </nc>
  </rcc>
  <rcc rId="645" sId="4">
    <o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9" t="inlineStr">
      <is>
        <r>
          <t xml:space="preserve">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646" sId="4">
    <oc r="I9" t="inlineStr">
      <is>
        <t xml:space="preserve">Методически насоки и национални разпоредби за управление и конторл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is>
    </oc>
    <nc r="I9" t="inlineStr">
      <is>
        <t xml:space="preserve">Методически насоки и национални разпоредби за управление и контрол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is>
    </nc>
  </rcc>
  <rcc rId="647" sId="4">
    <oc r="H15" t="inlineStr">
      <is>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и оптимиизране на процедурите за предварителен контрол
</t>
      </is>
    </oc>
    <nc r="H15" t="inlineStr">
      <is>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и оптимизиране на процедурите за предварителен контрол
</t>
      </is>
    </nc>
  </rcc>
  <rcc rId="648" sId="4">
    <oc r="F18" t="inlineStr">
      <is>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изграждене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is>
    </oc>
    <nc r="F18" t="inlineStr">
      <is>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изграждане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is>
    </nc>
  </rcc>
  <rcc rId="649" sId="4">
    <oc r="H18" t="inlineStr">
      <is>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фонодвете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
</t>
      </is>
    </oc>
    <nc r="H18" t="inlineStr">
      <is>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фондовете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
</t>
      </is>
    </nc>
  </rcc>
  <rcc rId="650" sId="4">
    <oc r="H21" t="inlineStr">
      <is>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сиситеми и регистри, в това число хоризнталните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r>
          <rPr>
            <sz val="9"/>
            <rFont val="Times New Roman"/>
            <family val="1"/>
            <charset val="204"/>
          </rPr>
          <t xml:space="preserve">
</t>
        </r>
      </is>
    </oc>
    <nc r="H21" t="inlineStr">
      <is>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r>
          <rPr>
            <sz val="9"/>
            <rFont val="Times New Roman"/>
            <family val="1"/>
            <charset val="204"/>
          </rPr>
          <t xml:space="preserve">
</t>
        </r>
      </is>
    </nc>
  </rcc>
  <rcc rId="651"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всички отчетни периоди в периода 2023-2029.
</t>
      </is>
    </nc>
  </rcc>
  <rcc rId="652" sId="4">
    <oc r="H24" t="inlineStr">
      <is>
        <t xml:space="preserve">1. Подобряване на процесите по подготовка, изпълнение, мониторинг, контрол, управление на програми от СП; 
2. Интеграция с други сиситеми и регистри, в това число хоризнталните системи на електронното управление и с НГП и др.
</t>
      </is>
    </oc>
    <nc r="H24" t="inlineStr">
      <is>
        <t xml:space="preserve">1. Подобряване на процесите по подготовка, изпълнение, мониторинг, контрол, управление на програми от СП; 
2. Интеграция с други системи и регистри, в това число хоризонталните системи на електронното управление и с НГП и др.
</t>
      </is>
    </nc>
  </rcc>
  <rcc rId="653" sId="4">
    <o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всични отчетни периоди в периода 2023-2029.
</t>
      </is>
    </oc>
    <n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програми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всички отчетни периоди в периода 2023-2029.
</t>
      </is>
    </nc>
  </rcc>
  <rcc rId="654" sId="4">
    <oc r="H27" t="inlineStr">
      <is>
        <t xml:space="preserve">1. Подобряване на процесите по подготовка, изпълнение, мониторинг, контрол, управление на програми от СП; 
2. Интеграция с други сиситеми и регистри, в това число хоризнталните системи на електронното управление и с НГП и др.
</t>
      </is>
    </oc>
    <nc r="H27" t="inlineStr">
      <is>
        <t xml:space="preserve">1. Подобряване на процесите по подготовка, изпълнение, мониторинг, контрол, управление на програми от СП; 
2. Интеграция с други системи и регистри, в това число хоризонталните системи на електронното управление и с НГП и др.
</t>
      </is>
    </nc>
  </rcc>
  <rcc rId="655" sId="4">
    <oc r="F57" t="inlineStr">
      <is>
        <t>Всеки бенефициента предоставя текущона УО информация за проведените събития през отчетния период заедно с доказателства относно тяхното провеждане. 
Отчитат се присъсвени,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is>
    </oc>
    <nc r="F57" t="inlineStr">
      <is>
        <t>Всеки бенефициента предоставя текущо на УО информация за проведените събития през отчетния период заедно с доказателства относно тяхното провеждане. 
Отчитат се присъствени,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is>
    </nc>
  </rcc>
  <rcc rId="656" sId="4">
    <oc r="H57" t="inlineStr">
      <is>
        <r>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t>
        </r>
        <r>
          <rPr>
            <sz val="9"/>
            <color rgb="FFFF0000"/>
            <rFont val="Times New Roman"/>
            <family val="1"/>
            <charset val="204"/>
          </rPr>
          <t xml:space="preserve">4. Осигуряване на прозрачност за предприетите действия във връзка със сигнали/нередности и измами със средства от фондовете на ЕС. </t>
        </r>
      </is>
    </oc>
    <nc r="H57" t="inlineStr">
      <is>
        <r>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t>
        </r>
        <r>
          <rPr>
            <sz val="9"/>
            <color rgb="FFFF0000"/>
            <rFont val="Times New Roman"/>
            <family val="1"/>
            <charset val="204"/>
          </rPr>
          <t xml:space="preserve">4. Осигуряване на прозрачност за предприетите действия във връзка със сигнали/нередности и измами със средства от фондовете на ЕС. </t>
        </r>
      </is>
    </nc>
  </rcc>
  <rcc rId="657" sId="4">
    <oc r="H9" t="inlineStr">
      <is>
        <r>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t>
        </r>
        <r>
          <rPr>
            <sz val="9"/>
            <color rgb="FFFF0000"/>
            <rFont val="Times New Roman"/>
            <family val="1"/>
            <charset val="204"/>
          </rPr>
          <t xml:space="preserve">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като подход, основан на резултатите. </t>
        </r>
        <r>
          <rPr>
            <sz val="9"/>
            <rFont val="Times New Roman"/>
            <family val="1"/>
            <charset val="204"/>
          </rPr>
          <t xml:space="preserve">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r>
      </is>
    </oc>
    <nc r="H9" t="inlineStr">
      <is>
        <r>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t>
        </r>
        <r>
          <rPr>
            <sz val="9"/>
            <color rgb="FFFF0000"/>
            <rFont val="Times New Roman"/>
            <family val="1"/>
            <charset val="204"/>
          </rPr>
          <t xml:space="preserve">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подход, основан на резултатите. </t>
        </r>
        <r>
          <rPr>
            <sz val="9"/>
            <rFont val="Times New Roman"/>
            <family val="1"/>
            <charset val="204"/>
          </rPr>
          <t xml:space="preserve">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r>
      </is>
    </nc>
  </rcc>
  <rcc rId="658" sId="4">
    <oc r="E27" t="inlineStr">
      <is>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деклации на отчет, изчислено въз основа на данните в ИСУН за програмите, финансирани от ЕСФ, ЕФРР, КФ, ЕФМДР и ФЕПНЛ за периода 2014-2020</t>
      </is>
    </oc>
    <nc r="E27" t="inlineStr">
      <is>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is>
    </nc>
  </rcc>
  <rcc rId="659" sId="4">
    <o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(разпределение на работното време между програмите от СП и други) си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се изчислява, като сборът от броя на назначениете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oc>
    <n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(разпределение на работното време между програмите от СП и други) си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nc>
  </rcc>
  <rcc rId="660" sId="4">
    <oc r="E57" t="inlineStr">
      <is>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7" t="inlineStr">
      <is>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струкурите на Системата, както и сред всички заинтересовани страни.   </t>
        </r>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1" sId="4">
    <o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4.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5.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6.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7. Подготовка на стратегии и пътни карти за Системата. </t>
        </r>
        <r>
          <rPr>
            <sz val="9"/>
            <color rgb="FFFF0000"/>
            <rFont val="Times New Roman"/>
            <family val="1"/>
            <charset val="204"/>
          </rPr>
          <t xml:space="preserve"> (ЦКЗ).</t>
        </r>
      </is>
    </oc>
    <n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комуникационни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4.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5.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6.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7. Подготовка на стратегии и пътни карти за Системата. </t>
        </r>
        <r>
          <rPr>
            <sz val="9"/>
            <color rgb="FFFF0000"/>
            <rFont val="Times New Roman"/>
            <family val="1"/>
            <charset val="204"/>
          </rPr>
          <t xml:space="preserve"> (ЦКЗ).</t>
        </r>
      </is>
    </nc>
  </rcc>
  <rcc rId="662" sId="4">
    <oc r="E57" t="inlineStr">
      <is>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струкурите на Системата, както и сред всички заинтересовани страни.   </t>
        </r>
      </is>
    </oc>
    <nc r="E57" t="inlineStr">
      <is>
        <r>
          <t xml:space="preserve">Отчитат се </t>
        </r>
        <r>
          <rPr>
            <sz val="9"/>
            <color rgb="FFFF0000"/>
            <rFont val="Times New Roman"/>
            <family val="1"/>
            <charset val="204"/>
          </rPr>
          <t xml:space="preserve">традиционни и иновативни форми на обществени консултации, медиации и информационни събития, проведени: </t>
        </r>
        <r>
          <rPr>
            <sz val="9"/>
            <rFont val="Times New Roman"/>
            <family val="1"/>
            <charset val="204"/>
          </rPr>
          <t xml:space="preserve">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   </t>
        </r>
      </is>
    </nc>
  </rcc>
  <rcc rId="663" sId="4">
    <oc r="E3" t="inlineStr">
      <is>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Аналитичните доклади
</t>
      </is>
    </oc>
    <nc r="E3" t="inlineStr">
      <is>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t>
      </is>
    </nc>
  </rcc>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4" sId="4">
    <oc r="E18" t="inlineStr">
      <is>
        <r>
          <t xml:space="preserve">Надградена, внедрена, </t>
        </r>
        <r>
          <rPr>
            <sz val="9"/>
            <color rgb="FFFF0000"/>
            <rFont val="Times New Roman"/>
            <family val="1"/>
            <charset val="204"/>
          </rPr>
          <t>функционираща</t>
        </r>
        <r>
          <rPr>
            <sz val="9"/>
            <rFont val="Times New Roman"/>
            <family val="1"/>
            <charset val="204"/>
          </rPr>
          <t xml:space="preserve">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is>
    </oc>
    <nc r="E18" t="inlineStr">
      <is>
        <r>
          <t xml:space="preserve">Надградена, внедрена, </t>
        </r>
        <r>
          <rPr>
            <sz val="9"/>
            <color rgb="FFFF0000"/>
            <rFont val="Times New Roman"/>
            <family val="1"/>
            <charset val="204"/>
          </rPr>
          <t>функционираща</t>
        </r>
        <r>
          <rPr>
            <sz val="9"/>
            <rFont val="Times New Roman"/>
            <family val="1"/>
            <charset val="204"/>
          </rPr>
          <t xml:space="preserve">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is>
    </nc>
  </rcc>
  <rcc rId="665" sId="4">
    <oc r="E24" t="inlineStr">
      <is>
        <r>
          <t>Индикаторът измерва процентното намаление</t>
        </r>
        <r>
          <rPr>
            <strike/>
            <sz val="9"/>
            <rFont val="Times New Roman"/>
            <family val="1"/>
            <charset val="204"/>
          </rPr>
          <t xml:space="preserve"> </t>
        </r>
        <r>
          <rPr>
            <sz val="9"/>
            <rFont val="Times New Roman"/>
            <family val="1"/>
            <charset val="204"/>
          </rPr>
          <t xml:space="preserve">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is>
    </oc>
    <nc r="E24" t="inlineStr">
      <is>
        <r>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 sId="4">
    <oc r="E18" t="inlineStr">
      <is>
        <r>
          <t xml:space="preserve">Надградена, внедрена, </t>
        </r>
        <r>
          <rPr>
            <sz val="9"/>
            <color rgb="FFFF0000"/>
            <rFont val="Times New Roman"/>
            <family val="1"/>
            <charset val="204"/>
          </rPr>
          <t>функциониращ</t>
        </r>
        <r>
          <rPr>
            <sz val="9"/>
            <rFont val="Times New Roman"/>
            <family val="1"/>
            <charset val="204"/>
          </rPr>
          <t xml:space="preserve">а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Системата осигурява единен достъп до данни от всички налични регистри за държавни и минимални помощи и автоматизиран обмен с други информационни регистри и системи.
</t>
        </r>
      </is>
    </oc>
    <nc r="E18" t="inlineStr">
      <is>
        <r>
          <t xml:space="preserve">Надградена, внедрена, </t>
        </r>
        <r>
          <rPr>
            <sz val="9"/>
            <color rgb="FFFF0000"/>
            <rFont val="Times New Roman"/>
            <family val="1"/>
            <charset val="204"/>
          </rPr>
          <t>функциониращ</t>
        </r>
        <r>
          <rPr>
            <sz val="9"/>
            <rFont val="Times New Roman"/>
            <family val="1"/>
            <charset val="204"/>
          </rPr>
          <t xml:space="preserve">а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r>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6" sId="4">
    <oc r="I15" t="inlineStr">
      <is>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Повишен процент на отстранени грешки, в следствие на подобрен предварителен контрол </t>
      </is>
    </oc>
    <nc r="I15" t="inlineStr">
      <is>
        <t>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Повишен процент на отстранени грешки, в следствие на подобрен предварителен контрол 
Повишаване на качеството на проверките, извършвани от АОП.</t>
      </is>
    </nc>
  </rcc>
  <rcc rId="667" sId="4">
    <oc r="E15" t="inlineStr">
      <is>
        <t xml:space="preserve">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Индикаторът ще допринесе за повишаване на качеството на проверките, извършвани от АОП.
</t>
      </is>
    </oc>
    <nc r="E15" t="inlineStr">
      <is>
        <t xml:space="preserve">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t>
      </is>
    </nc>
  </rcc>
  <rcc rId="668" sId="4">
    <o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Бенефициентът трябва да комуникира докладите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Докладите трябва да бъдат комуникирани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9" sId="4">
    <oc r="E24" t="inlineStr">
      <is>
        <r>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is>
    </oc>
    <nc r="E24" t="inlineStr">
      <is>
        <r>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t>
        </r>
        <r>
          <rPr>
            <sz val="9"/>
            <color rgb="FFFF0000"/>
            <rFont val="Times New Roman"/>
            <family val="1"/>
            <charset val="204"/>
          </rPr>
          <t xml:space="preserve">за периода 2014-2020. </t>
        </r>
        <r>
          <rPr>
            <sz val="9"/>
            <rFont val="Times New Roman"/>
            <family val="1"/>
            <charset val="204"/>
          </rPr>
          <t xml:space="preserve">
</t>
        </r>
      </is>
    </nc>
  </rcc>
  <rcc rId="670" sId="4">
    <oc r="E27" t="inlineStr">
      <is>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is>
    </oc>
    <nc r="E27" t="inlineStr">
      <is>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is>
    </nc>
  </rcc>
  <rcc rId="671" sId="4">
    <oc r="E33" t="inlineStr">
      <is>
        <r>
          <t>Под "</t>
        </r>
        <r>
          <rPr>
            <sz val="9"/>
            <color rgb="FFFF0000"/>
            <rFont val="Times New Roman"/>
            <family val="1"/>
            <charset val="204"/>
          </rPr>
          <t>разработен</t>
        </r>
        <r>
          <rPr>
            <sz val="9"/>
            <rFont val="Times New Roman"/>
            <family val="1"/>
            <charset val="204"/>
          </rPr>
          <t xml:space="preserve">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r>
      </is>
    </oc>
    <nc r="E33" t="inlineStr">
      <is>
        <r>
          <t>Под "</t>
        </r>
        <r>
          <rPr>
            <sz val="9"/>
            <color rgb="FFFF0000"/>
            <rFont val="Times New Roman"/>
            <family val="1"/>
            <charset val="204"/>
          </rPr>
          <t>разработен</t>
        </r>
        <r>
          <rPr>
            <sz val="9"/>
            <rFont val="Times New Roman"/>
            <family val="1"/>
            <charset val="204"/>
          </rPr>
          <t xml:space="preserve">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r>
      </is>
    </nc>
  </rcc>
  <rcc rId="672" sId="4">
    <o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'!$A$1:$F$68</formula>
    <oldFormula>'ПОКАЗАТЕЛИ ПТП '!$A$1:$F$68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2" sId="4">
    <oc r="F9" t="inlineStr">
      <is>
        <r>
          <t xml:space="preserve">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9" t="inlineStr">
      <is>
        <r>
          <t xml:space="preserve">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r>
      </is>
    </nc>
  </rcc>
  <rcc rId="683" sId="4">
    <o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(разпределение на работното време между програмите от СП и други) си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oc>
    <n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nc>
  </rcc>
  <rcc rId="684" sId="4">
    <oc r="H6" t="inlineStr">
      <is>
        <r>
          <rPr>
            <sz val="9"/>
            <color rgb="FFFF0000"/>
            <rFont val="Times New Roman"/>
            <family val="1"/>
            <charset val="204"/>
          </rPr>
          <t>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t>
        </r>
        <r>
          <rPr>
            <sz val="9"/>
            <rFont val="Times New Roman"/>
            <family val="1"/>
            <charset val="204"/>
          </rPr>
          <t xml:space="preserve">
7.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t>
        </r>
        <r>
          <rPr>
            <sz val="9"/>
            <color rgb="FFFF0000"/>
            <rFont val="Times New Roman"/>
            <family val="1"/>
            <charset val="204"/>
          </rPr>
          <t xml:space="preserve">. Изпълнение и проследяване на препоръки от  оценителните доклади за оптимизиране на административни процеси/процедури в Системата
</t>
        </r>
      </is>
    </oc>
    <nc r="H6" t="inlineStr">
      <is>
        <r>
          <rPr>
            <sz val="9"/>
            <color rgb="FFFF0000"/>
            <rFont val="Times New Roman"/>
            <family val="1"/>
            <charset val="204"/>
          </rPr>
          <t>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t>
        </r>
        <r>
          <rPr>
            <sz val="9"/>
            <rFont val="Times New Roman"/>
            <family val="1"/>
            <charset val="204"/>
          </rPr>
          <t xml:space="preserve">
7.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t>
        </r>
        <r>
          <rPr>
            <sz val="9"/>
            <color rgb="FFFF0000"/>
            <rFont val="Times New Roman"/>
            <family val="1"/>
            <charset val="204"/>
          </rPr>
          <t xml:space="preserve">. Изпълнение и проследяване на препоръки от  оценителните доклади за оптимизиране на административни процеси/процедури в Системата.
</t>
        </r>
      </is>
    </nc>
  </rcc>
  <rcc rId="685" sId="4">
    <oc r="F12" t="inlineStr">
      <is>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is>
    </oc>
    <nc r="F12" t="inlineStr">
      <is>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is>
    </nc>
  </rcc>
  <rcc rId="686" sId="4">
    <oc r="H18" t="inlineStr">
      <is>
        <t xml:space="preserve">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фондовете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
</t>
      </is>
    </oc>
    <nc r="H18" t="inlineStr">
      <is>
        <t>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фондовете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t>
      </is>
    </nc>
  </rcc>
  <rcc rId="687" sId="4">
    <oc r="H21" t="inlineStr">
      <is>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r>
          <rPr>
            <sz val="9"/>
            <rFont val="Times New Roman"/>
            <family val="1"/>
            <charset val="204"/>
          </rPr>
          <t xml:space="preserve">
</t>
        </r>
      </is>
    </oc>
    <nc r="H21" t="inlineStr">
      <is>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is>
    </nc>
  </rcc>
  <rcc rId="688" sId="4">
    <oc r="F25" t="inlineStr">
      <is>
        <t>,</t>
      </is>
    </oc>
    <nc r="F25"/>
  </rcc>
  <rcc rId="689" sId="4">
    <o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r>
      </is>
    </nc>
  </rcc>
  <rcc rId="690" sId="4">
    <oc r="L74" t="inlineStr">
      <is>
        <r>
          <rPr>
            <b/>
            <sz val="9"/>
            <color theme="1"/>
            <rFont val="Times New Roman"/>
            <family val="1"/>
            <charset val="204"/>
          </rPr>
          <t>ОБЩО (европейско + национално съфинансиране) (BGN)</t>
        </r>
      </is>
    </oc>
    <nc r="L74" t="inlineStr">
      <is>
        <t>ОБЩО (европейско + национално съфинансиране) (BGN)</t>
      </is>
    </nc>
  </rcc>
  <rfmt sheetId="4" sqref="K74:L74" start="0" length="2147483647">
    <dxf>
      <font>
        <sz val="8"/>
      </font>
    </dxf>
  </rfmt>
  <rfmt sheetId="4" sqref="J74:J79" start="0" length="0">
    <dxf>
      <border>
        <left style="medium">
          <color indexed="64"/>
        </left>
      </border>
    </dxf>
  </rfmt>
  <rfmt sheetId="4" sqref="J74:L74" start="0" length="0">
    <dxf>
      <border>
        <top style="medium">
          <color indexed="64"/>
        </top>
      </border>
    </dxf>
  </rfmt>
  <rfmt sheetId="4" sqref="L74:L79" start="0" length="0">
    <dxf>
      <border>
        <right style="medium">
          <color indexed="64"/>
        </right>
      </border>
    </dxf>
  </rfmt>
  <rfmt sheetId="4" sqref="J79:L79" start="0" length="0">
    <dxf>
      <border>
        <bottom style="medium">
          <color indexed="64"/>
        </bottom>
      </border>
    </dxf>
  </rfmt>
  <rcc rId="691" sId="4">
    <oc r="M83">
      <f>+K83+K84-K75</f>
    </oc>
    <nc r="M83"/>
  </rcc>
  <rcc rId="692" sId="4">
    <oc r="N83">
      <f>+L83+L84-L75</f>
    </oc>
    <nc r="N83"/>
  </rcc>
  <rcc rId="693" sId="4">
    <oc r="M85">
      <f>+K85+K86-K76</f>
    </oc>
    <nc r="M85"/>
  </rcc>
  <rcc rId="694" sId="4">
    <oc r="N85">
      <f>+L85+L86-L76</f>
    </oc>
    <nc r="N85"/>
  </rcc>
  <rcc rId="695" sId="4">
    <oc r="M87">
      <f>+K87+K88-K77</f>
    </oc>
    <nc r="M87"/>
  </rcc>
  <rcc rId="696" sId="4">
    <oc r="N87">
      <f>+L87+L88-L77</f>
    </oc>
    <nc r="N87"/>
  </rcc>
  <rcc rId="697" sId="4">
    <oc r="M89">
      <f>+K89+K90-K78</f>
    </oc>
    <nc r="M89"/>
  </rcc>
  <rcc rId="698" sId="4">
    <oc r="N89">
      <f>+L89+L90-L78</f>
    </oc>
    <nc r="N89"/>
  </rcc>
  <rfmt sheetId="4" sqref="M76:U108" start="0" length="2147483647">
    <dxf>
      <font>
        <color auto="1"/>
      </font>
    </dxf>
  </rfmt>
  <rfmt sheetId="4" sqref="A70:I116" start="0" length="2147483647">
    <dxf>
      <font>
        <color auto="1"/>
      </font>
    </dxf>
  </rfmt>
  <rfmt sheetId="4" sqref="J104:J105" start="0" length="0">
    <dxf>
      <border>
        <left style="medium">
          <color indexed="64"/>
        </left>
      </border>
    </dxf>
  </rfmt>
  <rfmt sheetId="4" sqref="J104:K104" start="0" length="0">
    <dxf>
      <border>
        <top style="medium">
          <color indexed="64"/>
        </top>
      </border>
    </dxf>
  </rfmt>
  <rfmt sheetId="4" sqref="K104:K105" start="0" length="0">
    <dxf>
      <border>
        <right style="medium">
          <color indexed="64"/>
        </right>
      </border>
    </dxf>
  </rfmt>
  <rfmt sheetId="4" sqref="J105:K105" start="0" length="0">
    <dxf>
      <border>
        <bottom style="medium">
          <color indexed="64"/>
        </bottom>
      </border>
    </dxf>
  </rfmt>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'!$A$1:$S$68</formula>
    <oldFormula>'ПОКАЗАТЕЛИ ПТП '!$A$1:$F$68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2A281B9-28FB-4D0E-8C01-BFBADAC8C3C9}" action="delete"/>
  <rdn rId="0" localSheetId="1" customView="1" name="Z_32A281B9_28FB_4D0E_8C01_BFBADAC8C3C9_.wvu.PrintArea" hidden="1" oldHidden="1">
    <formula>'Финансови бюджетни '!$A$4:$L$16</formula>
    <oldFormula>'Финансови бюджетни '!$A$4:$L$16</oldFormula>
  </rdn>
  <rdn rId="0" localSheetId="2" customView="1" name="Z_32A281B9_28FB_4D0E_8C01_BFBADAC8C3C9_.wvu.PrintArea" hidden="1" oldHidden="1">
    <formula>'Финансов план на ПТП'!$A$2:$M$18</formula>
    <oldFormula>'Финансов план на ПТП'!$A$2:$M$18</oldFormula>
  </rdn>
  <rdn rId="0" localSheetId="3" customView="1" name="Z_32A281B9_28FB_4D0E_8C01_BFBADAC8C3C9_.wvu.PrintArea" hidden="1" oldHidden="1">
    <formula>'ОПНО_визия евро'!$A$1:$O$30</formula>
    <oldFormula>'ОПНО_визия евро'!$A$1:$O$30</oldFormula>
  </rdn>
  <rdn rId="0" localSheetId="4" customView="1" name="Z_32A281B9_28FB_4D0E_8C01_BFBADAC8C3C9_.wvu.PrintArea" hidden="1" oldHidden="1">
    <formula>'ПОКАЗАТЕЛИ ПТП '!$A$1:$F$68</formula>
    <oldFormula>'ПОКАЗАТЕЛИ ПТП '!$A$1:$F$68</oldFormula>
  </rdn>
  <rdn rId="0" localSheetId="4" customView="1" name="Z_32A281B9_28FB_4D0E_8C01_BFBADAC8C3C9_.wvu.FilterData" hidden="1" oldHidden="1">
    <formula>'ПОКАЗАТЕЛИ ПТП '!$A$1:$M$70</formula>
    <oldFormula>'ПОКАЗАТЕЛИ ПТП '!$A$1:$M$70</oldFormula>
  </rdn>
  <rdn rId="0" localSheetId="7" customView="1" name="Z_32A281B9_28FB_4D0E_8C01_BFBADAC8C3C9_.wvu.PrintArea" hidden="1" oldHidden="1">
    <formula>П3_Наука_Инфраструктура!$A$1:$L$16</formula>
    <oldFormula>П3_Наука_Инфраструктура!$A$1:$L$16</oldFormula>
  </rdn>
  <rdn rId="0" localSheetId="8" customView="1" name="Z_32A281B9_28FB_4D0E_8C01_BFBADAC8C3C9_.wvu.PrintArea" hidden="1" oldHidden="1">
    <formula>'П3_Наука Изследвания'!$A$1:$M$14</formula>
    <oldFormula>'П3_Наука Изследвания'!$A$1:$M$14</oldFormula>
  </rdn>
  <rdn rId="0" localSheetId="9" customView="1" name="Z_32A281B9_28FB_4D0E_8C01_BFBADAC8C3C9_.wvu.PrintArea" hidden="1" oldHidden="1">
    <formula>П3_Наука_Хоризонт!$A$1:$M$18</formula>
    <oldFormula>П3_Наука_Хоризонт!$A$1:$M$18</oldFormula>
  </rdn>
  <rdn rId="0" localSheetId="9" customView="1" name="Z_32A281B9_28FB_4D0E_8C01_BFBADAC8C3C9_.wvu.Cols" hidden="1" oldHidden="1">
    <formula>П3_Наука_Хоризонт!$N:$O</formula>
    <oldFormula>П3_Наука_Хоризонт!$N:$O</oldFormula>
  </rdn>
  <rcv guid="{32A281B9-28FB-4D0E-8C01-BFBADAC8C3C9}"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6" sId="4">
    <oc r="F18" t="inlineStr">
      <is>
        <t xml:space="preserve">Показателят се отчита на шестмесечна база от националното звено за държавни помощи за поддръжка и актуализация на Единната информационна система за държавни помощ и Центъра за държавни помощи относно средствата от фондовете на РОР.
Комплексното развитие на информационната система за наблюдение и координация на държавните помощи (по чл.51 от Закона за държавните помощи) с публичен модул Центърът за държавни помощи се отчита след електронизиране на процесите и осигуряване единен достъп до данни от всички налични регистри за държавни и минимални помощи, осигуряване на достъп за администраторите на помощ, автоматизиран обмен с други информационни регистри и системи. 
</t>
      </is>
    </oc>
    <nc r="F18" t="inlineStr">
      <is>
        <t xml:space="preserve">Показателят се отчита от националното звено за държавни помощи изграждане и внедряване на Единната информационна система за държавни помощ и Центъра за държавни помощи относно средствата от фондовете на РОР.
Комплексното развитие на информационната система за наблюдение и координация на държавните помощи (по чл.51 от Закона за държавните помощи) с публичен модул Центърът за държавни помощи се отчита след електронизиране на процесите и осигуряване единен достъп до данни от всички налични регистри за държавни и минимални помощи, осигуряване на достъп за администраторите на помощ, автоматизиран обмен с други информационни регистри и системи. 
</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4">
    <oc r="F18" t="inlineStr">
      <is>
        <t xml:space="preserve">Показателят се отчита от националното звено за държавни помощи изграждане и внедряване на Единната информационна система за държавни помощ и Центъра за държавни помощи относно средствата от фондовете на РОР.
Комплексното развитие на информационната система за наблюдение и координация на държавните помощи (по чл.51 от Закона за държавните помощи) с публичен модул Центърът за държавни помощи се отчита след електронизиране на процесите и осигуряване единен достъп до данни от всички налични регистри за държавни и минимални помощи, осигуряване на достъп за администраторите на помощ, автоматизиран обмен с други информационни регистри и системи. 
</t>
      </is>
    </oc>
    <nc r="F18" t="inlineStr">
      <is>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изграждене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7" sId="4">
    <oc r="F18" t="inlineStr">
      <is>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изграждене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is>
    </oc>
    <nc r="F18" t="inlineStr">
      <is>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изграждене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nc>
  </rcc>
  <rcc rId="79" sId="4">
    <o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дела като съотношение между сбора на бройките, отчетени от бенефициентите и общият брой на обучените в съответните обучения на хоризонтална тема. ДА СЕ ИЗМИСЛИ НАЧИН ЗА МЕТАДАННИТЕ КАК ОТ О2-2 ДА СЕ ИЗВАДЯТ ОБУЧЕНИТЕ ПО ХОРИЗОНТАЛНИ ТЕМИ!!!
Показателят се изчислява кумулативно.</t>
      </is>
    </oc>
    <n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ДА СЕ ИЗМИСЛИ НАЧИН ЗА МЕТАДАННИТЕ КАК ОТ О2-2 ДА СЕ ИЗВАДЯТ ОБУЧЕНИТЕ ПО ХОРИЗОНТАЛНИ ТЕМИ!!!
Показателят се изчислява кумулативно.</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'!$A$1:$F$65</formula>
    <oldFormula>'ПОКАЗАТЕЛИ ПТП '!$A$1:$F$65</oldFormula>
  </rdn>
  <rdn rId="0" localSheetId="4" customView="1" name="Z_B426F9F8_EB1A_4D7B_9478_7E22D414CC12_.wvu.FilterData" hidden="1" oldHidden="1">
    <formula>'ПОКАЗАТЕЛИ ПТП '!$A$1:$M$67</formula>
    <oldFormula>'ПОКАЗАТЕЛИ ПТП '!$A$1:$M$67</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4">
    <o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ДА СЕ ИЗМИСЛИ НАЧИН ЗА МЕТАДАННИТЕ КАК ОТ О2-2 ДА СЕ ИЗВАДЯТ ОБУЧЕНИТЕ ПО ХОРИЗОНТАЛНИ ТЕМИ!!!
Показателят се изчислява кумулативно.</t>
      </is>
    </oc>
    <n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 sId="4">
    <o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Индикаторът отчита броя на успешно преминатите човеко-обучения с поне 75% верни отговори на финалния тест.
Показателят се отчита от бенефициентите кумулативно два пъти годишно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oc>
    <n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4">
    <o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3.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4. Изготвяне на годишен анализ на основните констатации от проверки за открити нередности, включително измами, и последващи действия;
5. Изготвяне на годишен анализ на основните грешки, свързани с правилата за държавни помощи </t>
        </r>
        <r>
          <rPr>
            <sz val="9"/>
            <color rgb="FFFF0000"/>
            <rFont val="Times New Roman"/>
            <family val="1"/>
            <charset val="204"/>
          </rPr>
          <t>(АФКОС)</t>
        </r>
        <r>
          <rPr>
            <sz val="9"/>
            <rFont val="Times New Roman"/>
            <family val="1"/>
            <charset val="204"/>
          </rPr>
          <t xml:space="preserve">;
6. Подготовка на стратегии и пътни карти за Системата. </t>
        </r>
        <r>
          <rPr>
            <sz val="9"/>
            <color rgb="FFFF0000"/>
            <rFont val="Times New Roman"/>
            <family val="1"/>
            <charset val="204"/>
          </rPr>
          <t xml:space="preserve"> (ЦКЗ)</t>
        </r>
      </is>
    </oc>
    <n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3.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4.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5.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6. Подготовка на стратегии и пътни карти за Системата. </t>
        </r>
        <r>
          <rPr>
            <sz val="9"/>
            <color rgb="FFFF0000"/>
            <rFont val="Times New Roman"/>
            <family val="1"/>
            <charset val="204"/>
          </rPr>
          <t xml:space="preserve"> (ЦКЗ)</t>
        </r>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 sId="4">
    <o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oc>
    <n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 sId="4">
    <oc r="F39" t="inlineStr">
      <is>
        <t>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Показателят се изчислява кумулативно.</t>
      </is>
    </oc>
    <n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4">
    <o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на хоризонтална тема,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t>
      </is>
    </oc>
    <n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4">
    <o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ДА СЕ ИЗМИСЛИ НАЧИН ЗА МЕТАДАННИТЕ КАК ОТ О2-2 ДА СЕ ИЗВАДЯТ ОБУЧЕНИТЕ ПО ХОРИЗОНТАЛНИ ТЕМИ!!!
</t>
      </is>
    </oc>
    <n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 sId="4">
    <oc r="I27" t="inlineStr">
      <is>
        <t>Подобрена електронна среда за мониторинг и верификация на проектни предложения по програми от СП;
Бързо адаптиране на ИСУН към нуждите на потребителите на системата;
Намалена административна тежест за УО-и и бенефициентите.</t>
      </is>
    </oc>
    <nc r="I27" t="inlineStr">
      <is>
        <t>Подобрена електронна среда за мониторинг и верификация на проекти по програми от СП;
Бързо адаптиране на ИСУН към нуждите на потребителите на системата;
Намалена административна тежест за УО-и и бенефициентите.</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 sId="4">
    <o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изискуеми документи за отчет по проекти по пограми през съответното календарно шестмесечие на 6,56, което е средният брой декларации на отчет през програмен период 2014-2020 г. и се умножи по 100%.
</t>
      </is>
    </oc>
    <n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изискуеми документи за отчет по проекти по пограми през съответното календарно шестмесечие на 6,56, което е средният брой декларации на отчет през програмен период 2014-2020 г. и се умножи по 100.
</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8"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9" sId="4">
    <oc r="A36" t="inlineStr">
      <is>
        <t>(О2-2) Обучени служители от системата, ключови бенефициенти и партньорски организации</t>
      </is>
    </oc>
    <nc r="A36" t="inlineStr">
      <is>
        <t>(О2-2) Брой обучени</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4">
    <oc r="E36" t="inlineStr">
      <is>
        <r>
          <t xml:space="preserve">Брой служители на Системата, на ключови бенефициенти по програмите от СП и на партньорски организации, вкл. и обучени външни оценители, преминали през курс на обучение, по проект по ПТП.  
</t>
        </r>
        <r>
          <rPr>
            <i/>
            <sz val="9"/>
            <rFont val="Times New Roman"/>
            <family val="1"/>
            <charset val="204"/>
          </rPr>
          <t xml:space="preserve">
</t>
        </r>
      </is>
    </oc>
    <nc r="E36" t="inlineStr">
      <is>
        <r>
          <t xml:space="preserve">Брой служители на Системата, на ключови бенефициенти по програмите от СП и на партньорски организации и обучени външни оценители, преминали през курс на обучение, по проект по ПТП.  
</t>
        </r>
        <r>
          <rPr>
            <i/>
            <sz val="9"/>
            <rFont val="Times New Roman"/>
            <family val="1"/>
            <charset val="204"/>
          </rPr>
          <t xml:space="preserve">
</t>
        </r>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4">
    <oc r="I3" t="inlineStr">
      <is>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засягащи финансовите интереси на ЕС при изпълнението на СП;
Актуализирана национална пътна карта на административен капацитет.</t>
        </r>
        <r>
          <rPr>
            <b/>
            <sz val="9"/>
            <rFont val="Times New Roman"/>
            <family val="1"/>
            <charset val="204"/>
          </rPr>
          <t xml:space="preserve">
</t>
        </r>
      </is>
    </oc>
    <nc r="I3" t="inlineStr">
      <is>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Актуализирана национална пътна карта на административен капацитет.</t>
        </r>
        <r>
          <rPr>
            <b/>
            <sz val="9"/>
            <rFont val="Times New Roman"/>
            <family val="1"/>
            <charset val="204"/>
          </rPr>
          <t xml:space="preserve">
</t>
        </r>
      </is>
    </nc>
  </rc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'!$A$1:$F$65</formula>
    <oldFormula>'ПОКАЗАТЕЛИ ПТП '!$A$1:$F$65</oldFormula>
  </rdn>
  <rdn rId="0" localSheetId="4" customView="1" name="Z_B426F9F8_EB1A_4D7B_9478_7E22D414CC12_.wvu.FilterData" hidden="1" oldHidden="1">
    <formula>'ПОКАЗАТЕЛИ ПТП '!$A$1:$M$67</formula>
    <oldFormula>'ПОКАЗАТЕЛИ ПТП '!$A$1:$M$67</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4">
    <o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Отчита се броят на преминатите човеко-обучения. Ако един служител е преминал три обучения, стойността на индикатора е три.
Показателят се изчислява на 2 пъти годишно, към 30 юни и 31 декември, от УО.
Показателят се изчислява кумулативно.
</t>
      </is>
    </oc>
    <n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Показателят се изчислява на 2 пъти годишно, към 30 юни и 31 декември, от УО.
Показателят се изчислява кумулативно.
</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1" sId="4">
    <o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си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се изчислява, като сборът от броя на назначениете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oc>
    <nc r="F30" t="inlineStr">
      <is>
        <r>
          <rPr>
            <sz val="9"/>
            <color rgb="FFFF0000"/>
            <rFont val="Times New Roman"/>
            <family val="1"/>
            <charset val="204"/>
          </rPr>
          <t xml:space="preserve">Показателят се отчита на шестмесечие, към 30 юни и 31 декември на съответната година. </t>
        </r>
        <r>
          <rPr>
            <sz val="9"/>
            <rFont val="Times New Roman"/>
            <family val="1"/>
            <charset val="204"/>
          </rPr>
          <t xml:space="preserve">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t>
        </r>
        <r>
          <rPr>
            <sz val="9"/>
            <color rgb="FFFF0000"/>
            <rFont val="Times New Roman"/>
            <family val="1"/>
            <charset val="204"/>
          </rPr>
          <t>Всеки бенефициент предоставя на УО на шестмесечна база анализ на заетостта (разпределение на работното време между програмите от СП и други) си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t>
        </r>
        <r>
          <rPr>
            <sz val="9"/>
            <rFont val="Times New Roman"/>
            <family val="1"/>
            <charset val="204"/>
          </rPr>
          <t xml:space="preserve">
Всеки бенефициент предоставя информация на УО на шестмесечна база за </t>
        </r>
        <r>
          <rPr>
            <sz val="9"/>
            <color rgb="FFFF0000"/>
            <rFont val="Times New Roman"/>
            <family val="1"/>
            <charset val="204"/>
          </rPr>
          <t>средния</t>
        </r>
        <r>
          <rPr>
            <sz val="9"/>
            <rFont val="Times New Roman"/>
            <family val="1"/>
            <charset val="204"/>
          </rPr>
          <t xml:space="preserve"> брой на </t>
        </r>
        <r>
          <rPr>
            <strike/>
            <sz val="9"/>
            <color rgb="FFFF0000"/>
            <rFont val="Times New Roman"/>
            <family val="1"/>
            <charset val="204"/>
          </rPr>
          <t xml:space="preserve">служителите, чиито възнаграждения се възстановяват. </t>
        </r>
        <r>
          <rPr>
            <sz val="9"/>
            <color rgb="FFFF0000"/>
            <rFont val="Times New Roman"/>
            <family val="1"/>
            <charset val="204"/>
          </rPr>
          <t xml:space="preserve">заетите щатни бройки в структурата/звеното бенефициент. Средният брой на заетите щатни бройки се се изчислява, като сборът от броя на назначениете служители в края на всеки месец на шестмесечието се раздели на 6. </t>
        </r>
        <r>
          <rPr>
            <sz val="9"/>
            <rFont val="Times New Roman"/>
            <family val="1"/>
            <charset val="204"/>
          </rPr>
          <t xml:space="preserve">
</t>
        </r>
        <r>
          <rPr>
            <strike/>
            <sz val="9"/>
            <color rgb="FFFF0000"/>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rgb="FFFF0000"/>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rgb="FFFF0000"/>
            <rFont val="Times New Roman"/>
            <family val="1"/>
            <charset val="204"/>
          </rPr>
          <t xml:space="preserve">
</t>
        </r>
        <r>
          <rPr>
            <sz val="9"/>
            <rFont val="Times New Roman"/>
            <family val="1"/>
            <charset val="204"/>
          </rPr>
          <t xml:space="preserve">Междинната цел за 2024 г. и целевата стойност за 2029 г. се отнасят само до броя на служителите, чиито възнаграждения се възстановяват </t>
        </r>
        <r>
          <rPr>
            <sz val="9"/>
            <color rgb="FFFF0000"/>
            <rFont val="Times New Roman"/>
            <family val="1"/>
            <charset val="204"/>
          </rPr>
          <t>при еквивалент на пълна заетост</t>
        </r>
        <r>
          <rPr>
            <sz val="9"/>
            <rFont val="Times New Roman"/>
            <family val="1"/>
            <charset val="204"/>
          </rPr>
          <t xml:space="preserve">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t>
        </r>
        <r>
          <rPr>
            <sz val="9"/>
            <color rgb="FFFF0000"/>
            <rFont val="Times New Roman"/>
            <family val="1"/>
            <charset val="204"/>
          </rPr>
          <t>като се отчетат разликите в методологията на изчисление.</t>
        </r>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 sId="4">
    <o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индикатора кумулативно на база генерирана информация от всички бенефициенти към съответния отчетен период. 
</t>
      </is>
    </oc>
    <n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показателя към 30 юни и 31 декември.
УО изчислява индикатора кумулативно на база генерирана информация от всички бенефициенти към съответния отчетен период. 
</t>
      </is>
    </nc>
  </rcc>
  <rcc rId="122" sId="4">
    <o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Показателят се изчислява на 2 пъти годишно, към 30 юни и 31 декември, от УО.
Показателят се изчислява кумулативно.
</t>
      </is>
    </oc>
    <n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показателя към 30 юни и 31 декември.
Показателят се изчислява кумулативно.
</t>
      </is>
    </nc>
  </rcc>
  <rcc rId="123" sId="4">
    <oc r="F33" t="inlineStr">
      <is>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Показателят се изчислява на 2 пъти годишно, към 30 юни и 31 декември, от УО.
Показателят се изчислява кумулативно.
</t>
      </is>
    </oc>
    <nc r="F33" t="inlineStr">
      <is>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is>
    </nc>
  </rcc>
  <rcc rId="124" sId="4">
    <oc r="F21" t="inlineStr">
      <is>
        <t>Бенефициентът, отговорен за разработването и подкрепата на ИСУН, предоставя текущо информация за разработени и внедрени функционалности.
Показателят се изчислява на 2 пъти годишно, към 30 юни и 31 декември, от УО.
Показателят се изчислява кумулативно.</t>
      </is>
    </oc>
    <nc r="F21" t="inlineStr">
      <is>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is>
    </nc>
  </rcc>
  <rcc rId="125" sId="4">
    <oc r="F12" t="inlineStr">
      <is>
        <t xml:space="preserve">Всеки бенефициент текущо предоставя на УО информация за броя на контролите или одитите, завършени с окончателен доклад.
Показателят се изчислява на 2 пъти годишно, към 30 юни и 31 декември, от УО.
Показателят се изчислява кумулативно.
</t>
      </is>
    </oc>
    <nc r="F12" t="inlineStr">
      <is>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is>
    </nc>
  </rcc>
  <rcc rId="126" sId="4">
    <oc r="F9" t="inlineStr">
      <is>
        <t>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Показателят се изчислява на 2 пъти годишно, към 30 юни и 31 декември, от УО.
Показателят се изчислява кумулативно.</t>
      </is>
    </oc>
    <nc r="F9" t="inlineStr">
      <is>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is>
    </nc>
  </rcc>
  <rcc rId="127" sId="4">
    <oc r="F6" t="inlineStr">
      <is>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Показателят се изчислява на 2 пъти годишно, към 30 юни и 31 декември, от УО.
Показателят се изчислява кумулативно.
</t>
      </is>
    </oc>
    <nc r="F6" t="inlineStr">
      <is>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is>
    </nc>
  </rcc>
  <rcc rId="128" sId="4">
    <oc r="F3" t="inlineStr">
      <is>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Показателят се изчислява на 2 пъти годишно, към 30 юни и 31 декември, от УО.
Показателят се изчислява кумулативно.
</t>
      </is>
    </oc>
    <nc r="F3" t="inlineStr">
      <is>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 sId="4">
    <oc r="I42" t="inlineStr">
      <is>
        <t xml:space="preserve">Повишен капацитет на ОГО за активното им ангажиране при изпълнението на СП;
Намален брой нередности;
Качествени и полезни за местните общности ИТИ; 
Повишен капацитет на ОГО за подготовка, изпълнение, популяризиране и оценка на програмите от СП и работа в партньорство, със специален акцент за откриване на нередности и докладване; и събиране и интерпретация на данни, използване на ИКТ решения в работните процеси; мониторинг на политики; работа в мрежи. 
</t>
      </is>
    </oc>
    <nc r="I42" t="inlineStr">
      <is>
        <t xml:space="preserve">Повишен капацитет на ОГО за активното им ангажиране при изпълнението на СП;
Намален брой нередности;
Повишен капацитет на ОГО за подготовка, изпълнение, популяризиране и оценка на програмите от СП и работа в партньорство, със специален акцент за откриване на нередности и докладване; и събиране и интерпретация на данни, използване на ИКТ решения в работните процеси; мониторинг на политики; работа в мрежи. 
</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4">
    <oc r="E48" t="inlineStr">
      <is>
        <t xml:space="preserve">Брой ОГО и СИП (бенефициент или партньор) подкрепени за:
- събиране, обработка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is>
    </oc>
    <nc r="E48" t="inlineStr">
      <is>
        <t xml:space="preserve">Брой ОГО и СИП (бенефициент или партньор) подкрепени за:
- събиране, обощаване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0" sId="5" ref="A17:XFD17" action="insertRow"/>
  <rcc rId="141" sId="5">
    <nc r="A17" t="inlineStr">
      <is>
        <t>(О2-5)</t>
      </is>
    </nc>
  </rcc>
  <rcc rId="142" sId="5">
    <oc r="B16" t="inlineStr">
      <is>
        <t>ОГО и общини с повишен капацитет</t>
      </is>
    </oc>
    <nc r="B16" t="inlineStr">
      <is>
        <t>ОГО  с повишен капацитет</t>
      </is>
    </nc>
  </rcc>
  <rcc rId="143" sId="5">
    <nc r="B17" t="inlineStr">
      <is>
        <t>Общини с повишен капацитет</t>
      </is>
    </nc>
  </rcc>
  <rm rId="144" sheetId="5" source="X16" destination="X17" sourceSheetId="5">
    <rfmt sheetId="5" sqref="X17" start="0" length="0">
      <dxf>
        <font>
          <sz val="11"/>
          <color theme="1"/>
          <name val="Times New Roman"/>
          <scheme val="none"/>
        </font>
        <numFmt numFmtId="3" formatCode="#,##0"/>
        <fill>
          <patternFill patternType="solid">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m>
  <rfmt sheetId="5" sqref="X16"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cc rId="145" sId="5">
    <nc r="AD17">
      <f>SUM(Q17:AC17)</f>
    </nc>
  </rcc>
  <rcc rId="146" sId="5">
    <nc r="P17">
      <f>SUM(C17:O17)</f>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6" sId="4">
    <nc r="C42">
      <f>'Подробно разпределение '!P16</f>
    </nc>
  </rcc>
  <rcc rId="157" sId="4">
    <nc r="D42">
      <f>'Подробно разпределение '!AD16</f>
    </nc>
  </rcc>
  <rcc rId="158" sId="4">
    <nc r="C45">
      <f>'Подробно разпределение '!P17</f>
    </nc>
  </rcc>
  <rcc rId="159" sId="4">
    <nc r="D45">
      <f>'Подробно разпределение '!AD17</f>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4">
    <oc r="I51"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r>
        <r>
          <rPr>
            <sz val="9"/>
            <color rgb="FFFF0000"/>
            <rFont val="Times New Roman"/>
            <family val="1"/>
            <charset val="204"/>
          </rPr>
          <t>По-силно чувство за собственост върху резултатите от страна на гражданите;</t>
        </r>
        <r>
          <rPr>
            <sz val="9"/>
            <rFont val="Times New Roman"/>
            <family val="1"/>
            <charset val="204"/>
          </rPr>
          <t xml:space="preserve">
</t>
        </r>
      </is>
    </oc>
    <nc r="I51"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r>
        <r>
          <rPr>
            <sz val="9"/>
            <rFont val="Times New Roman"/>
            <family val="1"/>
            <charset val="204"/>
          </rPr>
          <t xml:space="preserve">
</t>
        </r>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1" sId="4">
    <oc r="I51"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r>
        <r>
          <rPr>
            <sz val="9"/>
            <rFont val="Times New Roman"/>
            <family val="1"/>
            <charset val="204"/>
          </rPr>
          <t xml:space="preserve">
</t>
        </r>
      </is>
    </oc>
    <nc r="I51"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t>
        </r>
        <r>
          <rPr>
            <sz val="9"/>
            <color rgb="FFFF0000"/>
            <rFont val="Times New Roman"/>
            <family val="1"/>
            <charset val="204"/>
          </rPr>
          <t>по-силно чувство за собственост върху</t>
        </r>
        <r>
          <rPr>
            <sz val="9"/>
            <rFont val="Times New Roman"/>
            <family val="1"/>
            <charset val="204"/>
          </rPr>
          <t xml:space="preserve"> резултатите от страна на гражданите.
</t>
        </r>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54:T56" start="0" length="2147483647">
    <dxf>
      <font>
        <color auto="1"/>
      </font>
    </dxf>
  </rfmt>
  <rfmt sheetId="4" sqref="A54:T56" start="0" length="2147483647">
    <dxf>
      <font>
        <strike val="0"/>
      </font>
    </dxf>
  </rfmt>
  <rcc rId="162" sId="4">
    <oc r="E54" t="inlineStr">
      <is>
        <t>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is>
    </oc>
    <nc r="E54" t="inlineStr">
      <is>
        <t>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 sId="4">
    <oc r="E6" t="inlineStr">
      <is>
        <r>
          <t xml:space="preserve">Брой хоризонтални и междусекторни оценки, извършени и </t>
        </r>
        <r>
          <rPr>
            <sz val="9"/>
            <color rgb="FFFF0000"/>
            <rFont val="Times New Roman"/>
            <family val="1"/>
            <charset val="204"/>
          </rPr>
          <t>проследени</t>
        </r>
        <r>
          <rPr>
            <sz val="9"/>
            <rFont val="Times New Roman"/>
            <family val="1"/>
            <charset val="204"/>
          </rPr>
          <t xml:space="preserve"> в съответствие с Плана за оценка на ПТП/СП. В следствие на всяка разработена оценка е утвърден план за действие, </t>
        </r>
        <r>
          <rPr>
            <sz val="9"/>
            <color rgb="FFFF0000"/>
            <rFont val="Times New Roman"/>
            <family val="1"/>
            <charset val="204"/>
          </rPr>
          <t xml:space="preserve">който трябва да бъде проследяван най-малко една година след издаване на окончателен доклад. </t>
        </r>
        <r>
          <rPr>
            <sz val="9"/>
            <rFont val="Times New Roman"/>
            <family val="1"/>
            <charset val="204"/>
          </rPr>
          <t xml:space="preserve">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r>
      </is>
    </oc>
    <nc r="E6" t="inlineStr">
      <is>
        <r>
          <t xml:space="preserve">Брой хоризонтални и междусекторни оценки, извършени и </t>
        </r>
        <r>
          <rPr>
            <sz val="9"/>
            <color rgb="FFFF0000"/>
            <rFont val="Times New Roman"/>
            <family val="1"/>
            <charset val="204"/>
          </rPr>
          <t>проследени</t>
        </r>
        <r>
          <rPr>
            <sz val="9"/>
            <rFont val="Times New Roman"/>
            <family val="1"/>
            <charset val="204"/>
          </rPr>
          <t xml:space="preserve"> в съответствие с Плана за оценка на ПТП/СП. В следствие на всяка извършена оценка е утвърден план за действие, </t>
        </r>
        <r>
          <rPr>
            <sz val="9"/>
            <color rgb="FFFF0000"/>
            <rFont val="Times New Roman"/>
            <family val="1"/>
            <charset val="204"/>
          </rPr>
          <t xml:space="preserve">който трябва да бъде проследяван най-малко една година след издаване на окончателен доклад. </t>
        </r>
        <r>
          <rPr>
            <sz val="9"/>
            <rFont val="Times New Roman"/>
            <family val="1"/>
            <charset val="204"/>
          </rPr>
          <t xml:space="preserve">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 sId="4">
    <oc r="E54" t="inlineStr">
      <is>
        <t>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is>
    </oc>
    <nc r="E54" t="inlineStr">
      <is>
        <t>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is>
    </nc>
  </rcc>
  <rfmt sheetId="4" s="1" sqref="F54" start="0" length="0">
    <dxf>
      <numFmt numFmtId="3" formatCode="#,##0"/>
    </dxf>
  </rfmt>
  <rcc rId="164" sId="4">
    <oc r="F54" t="inlineStr">
      <is>
        <t xml:space="preserve">Всеки бенефициент предоставя текуща информация за проведените информационни събития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в рамките на отчетния период.
Показателят се изчислява на 2 пъти годишно, към 30 юни и 31 декември, от УО.
Показателят се изчислява кумулативно.
</t>
      </is>
    </oc>
    <nc r="F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 sId="4">
    <oc r="F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oc>
    <nc r="F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is>
    </nc>
  </rcc>
  <rcc rId="175" sId="4">
    <oc r="E54" t="inlineStr">
      <is>
        <t>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t>
      </is>
    </oc>
    <nc r="E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5" sId="4">
    <oc r="F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is>
    </oc>
    <nc r="F54"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както присъсвени, така и дистанционни събития.  
УО изчислява кумулативно показателя към 30 юни и 31 декември.</t>
      </is>
    </nc>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6" sId="4">
    <oc r="E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Брой събития с цел информиране за възможностите за подкрепа и  популяризиране на резултатите по програмите от СП, проведени от бенефициенти или партньори по проекти по програмата.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oc>
    <nc r="E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nc>
  </rcc>
  <rcc rId="187" sId="4">
    <o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t>
      </is>
    </oc>
    <n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зяа популяризиране на резултати и препоръки от оценки.</t>
      </is>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 sId="4">
    <o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зяа популяризиране на резултати и препоръки от оценки.</t>
      </is>
    </oc>
    <n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t>
      </is>
    </nc>
  </rcc>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9" sId="4">
    <o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t>
      </is>
    </oc>
    <nc r="H54" t="inlineStr">
      <is>
        <t>1. Organizing public information events both face-to-face and remote (information days, press conferences, public discussions, NUTS II and III level campaigns for the general public, DICs information campaigns ) to promote the opportunities for support and the results of the PA programs.
2. Organizing tailor-made discussion forums for municipalities to increase inter-municipal cooperation, the capacity for strategic planning, and active participation in EU initiatives;
3. Organizing events to promote evaluation results and recommendations.</t>
      </is>
    </nc>
  </rcc>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 sId="4">
    <oc r="H54" t="inlineStr">
      <is>
        <t>1. Organizing public information events both face-to-face and remote (information days, press conferences, public discussions, NUTS II and III level campaigns for the general public, DICs information campaigns ) to promote the opportunities for support and the results of the PA programs.
2. Organizing tailor-made discussion forums for municipalities to increase inter-municipal cooperation, the capacity for strategic planning, and active participation in EU initiatives;
3. Organizing events to promote evaluation results and recommendations.</t>
      </is>
    </oc>
    <nc r="H54" t="inlineStr">
      <is>
        <t>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Провежадане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t>
      </is>
    </nc>
  </rcc>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1" sId="4">
    <oc r="F33" t="inlineStr">
      <is>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is>
    </oc>
    <nc r="F33" t="inlineStr">
      <is>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is>
    </nc>
  </rcc>
  <rcc rId="192" sId="4">
    <oc r="I36" t="inlineStr">
      <is>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is>
    </oc>
    <nc r="I36" t="inlineStr">
      <is>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is>
    </nc>
  </rcc>
  <rcc rId="193" sId="4">
    <oc r="H36" t="inlineStr">
      <is>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is>
    </oc>
    <nc r="H36" t="inlineStr">
      <is>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is>
    </nc>
  </rcc>
  <rcc rId="194" sId="4">
    <oc r="E63" t="inlineStr">
      <is>
        <t xml:space="preserve">Информираността на широката общественост за програмите от СП се измерва чрез самооценка на респондентите относно познаването на проекти/ дейности/ резултати, съ-финансирани по програмите от СП. </t>
      </is>
    </oc>
    <nc r="E63" t="inlineStr">
      <is>
        <t xml:space="preserve">Информираността на широката общественост за програмите от СП се измерва чрез самооценка на респондентите относно познаването на проекти/дейности/резултати, съ-финансирани по програмите от СП. </t>
      </is>
    </nc>
  </rcc>
  <rcc rId="195" sId="4">
    <o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простедяване на препоръки от  оценителните доклади за оптимизиране на административни процеси/ процедури в Системата
</t>
        </r>
      </is>
    </oc>
    <n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проследяване на препоръки от  оценителните доклади за оптимизиране на административни процеси/ процедури в Системата
</t>
        </r>
      </is>
    </nc>
  </rcc>
  <rcc rId="196" sId="4">
    <oc r="E9" t="inlineStr">
      <is>
        <t xml:space="preserve">Брой изготвени/ 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конторла на ЕСИФ/ фондовете на РОР. </t>
      </is>
    </oc>
    <nc r="E9" t="inlineStr">
      <is>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конторла на ЕСИФ/фондовете на РОР. </t>
      </is>
    </nc>
  </rcc>
  <rcc rId="197" sId="4">
    <oc r="F9" t="inlineStr">
      <is>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is>
    </oc>
    <nc r="F9" t="inlineStr">
      <is>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 sId="5" numFmtId="4">
    <oc r="Q4">
      <v>2</v>
    </oc>
    <nc r="Q4">
      <v>4</v>
    </nc>
  </rcc>
  <rcc rId="199" sId="4">
    <oc r="E54" t="inlineStr">
      <is>
        <t xml:space="preserve">1. Събития, организирани от ОИЦ за информиране на месните общостни относно: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за общини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is>
    </oc>
    <nc r="E54" t="inlineStr">
      <is>
        <r>
          <t xml:space="preserve">1. Събития, организирани </t>
        </r>
        <r>
          <rPr>
            <b/>
            <sz val="9"/>
            <rFont val="Times New Roman"/>
            <family val="1"/>
            <charset val="204"/>
          </rPr>
          <t>от ОИЦ</t>
        </r>
        <r>
          <rPr>
            <sz val="9"/>
            <rFont val="Times New Roman"/>
            <family val="1"/>
            <charset val="204"/>
          </rPr>
          <t xml:space="preserve"> за информиране на местните общостни относно:
-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cc rId="200" sId="4">
    <oc r="A54" t="inlineStr">
      <is>
        <t xml:space="preserve">(О4-1‭) ‬Информационни събития‭ </t>
      </is>
    </oc>
    <nc r="A54" t="inlineStr">
      <is>
        <t xml:space="preserve">(О4-1‭) ‬Информационни и дискусионни събития‭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4">
    <oc r="F54"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както присъсвени, така и дистанционни събития.  
УО изчислява кумулативно показателя към 30 юни и 31 декември.</t>
      </is>
    </oc>
    <nc r="F54"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присъсвени, дистанционни събития, форуми, както и всяка документирана инициатива за    
УО изчислява кумулативно показателя към 30 юни и 31 декември.</t>
      </is>
    </nc>
  </rcc>
  <rcc rId="211" sId="4">
    <oc r="A54" t="inlineStr">
      <is>
        <t xml:space="preserve">(О4-1‭) ‬Информационни и дискусионни събития‭ </t>
      </is>
    </oc>
    <nc r="A54" t="inlineStr">
      <is>
        <t>(О4-1‭) Тtraditional and innovative forms of public consultations, mediation, and presentations</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4">
    <o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на заинтересованите УО-и за извършване на оценки на програмите от СП;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простедяване на препоръки от  оценителните доклади за оптимизиране на административни процеси/ процедури в Системата
</t>
        </r>
      </is>
    </oc>
    <n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простедяване на препоръки от  оценителните доклади за оптимизиране на административни процеси/ процедури в Системата
</t>
        </r>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2" sId="4">
    <oc r="A54" t="inlineStr">
      <is>
        <t>(О4-1‭) Тtraditional and innovative forms of public consultations, mediation, and presentations</t>
      </is>
    </oc>
    <nc r="A54" t="inlineStr">
      <is>
        <t>(О4-1‭) Обществени консултации, медиации и презентации</t>
      </is>
    </nc>
  </rcc>
  <rcc rId="213" sId="4">
    <oc r="E54" t="inlineStr">
      <is>
        <r>
          <t xml:space="preserve">1. Събития, организирани </t>
        </r>
        <r>
          <rPr>
            <b/>
            <sz val="9"/>
            <rFont val="Times New Roman"/>
            <family val="1"/>
            <charset val="204"/>
          </rPr>
          <t>от ОИЦ</t>
        </r>
        <r>
          <rPr>
            <sz val="9"/>
            <rFont val="Times New Roman"/>
            <family val="1"/>
            <charset val="204"/>
          </rPr>
          <t xml:space="preserve"> за информиране на местните общостни относно:
-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4" t="inlineStr">
      <is>
        <r>
          <t xml:space="preserve">Отчитат се традиционни и иновативни форми на обществени консултации, медиации и информационни събития, проведени: 
1.  </t>
        </r>
        <r>
          <rPr>
            <b/>
            <sz val="9"/>
            <rFont val="Times New Roman"/>
            <family val="1"/>
            <charset val="204"/>
          </rPr>
          <t>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4" sId="4">
    <oc r="E54" t="inlineStr">
      <is>
        <r>
          <t xml:space="preserve">Отчитат се традиционни и иновативни форми на обществени консултации, медиации и информационни събития, проведени: 
1.  </t>
        </r>
        <r>
          <rPr>
            <b/>
            <sz val="9"/>
            <rFont val="Times New Roman"/>
            <family val="1"/>
            <charset val="204"/>
          </rPr>
          <t>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4" t="inlineStr">
      <is>
        <r>
          <t xml:space="preserve">Отчитат се традиционни и иновативни форми на обществени консултации, медиации и информационни събития, проведени: 
1.  </t>
        </r>
        <r>
          <rPr>
            <b/>
            <sz val="9"/>
            <rFont val="Times New Roman"/>
            <family val="1"/>
            <charset val="204"/>
          </rPr>
          <t>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подкрепа на потенциалните кандидати по програмите за трансгранично сътрудничество чрез разяснителни кампании и информационни дейности;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5" sId="4">
    <oc r="E54" t="inlineStr">
      <is>
        <r>
          <t xml:space="preserve">Отчитат се традиционни и иновативни форми на обществени консултации, медиации и информационни събития, проведени: 
1.  </t>
        </r>
        <r>
          <rPr>
            <b/>
            <sz val="9"/>
            <rFont val="Times New Roman"/>
            <family val="1"/>
            <charset val="204"/>
          </rPr>
          <t>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подкрепа на потенциалните кандидати по програмите за трансгранично сътрудничество чрез разяснителни кампании и информационни дейности;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2. Събития организирани </t>
        </r>
        <r>
          <rPr>
            <b/>
            <sz val="9"/>
            <rFont val="Times New Roman"/>
            <family val="1"/>
            <charset val="204"/>
          </rPr>
          <t xml:space="preserve">за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3. Събития 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4" t="inlineStr">
      <is>
        <r>
          <t xml:space="preserve">Отчитат се традиционни и иновативни форми на обществени консултации, медиации и информационни събития, проведени: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подкрепа на потенциалните кандидати по програмите за трансгранично сътрудничество чрез разяснителни кампании и информационни дейности;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6" sId="4">
    <oc r="E54" t="inlineStr">
      <is>
        <r>
          <t xml:space="preserve">Отчитат се традиционни и иновативни форми на обществени консултации, медиации и информационни събития, проведени: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за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подкрепа на потенциалните кандидати по програмите за трансгранично сътрудничество чрез разяснителни кампании и информационни дейности;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oc>
    <nc r="E54" t="inlineStr">
      <is>
        <r>
          <t xml:space="preserve">Отчитат се традиционни и иновативни форми на обществени консултации, медиации и информационни събития, проведени: 
</t>
        </r>
        <r>
          <rPr>
            <b/>
            <sz val="9"/>
            <rFont val="Times New Roman"/>
            <family val="1"/>
            <charset val="204"/>
          </rPr>
          <t xml:space="preserve">1. </t>
        </r>
        <r>
          <rPr>
            <sz val="9"/>
            <rFont val="Times New Roman"/>
            <family val="1"/>
            <charset val="204"/>
          </rPr>
          <t xml:space="preserve"> </t>
        </r>
        <r>
          <rPr>
            <b/>
            <sz val="9"/>
            <rFont val="Times New Roman"/>
            <family val="1"/>
            <charset val="204"/>
          </rPr>
          <t>от ОИЦ</t>
        </r>
        <r>
          <rPr>
            <sz val="9"/>
            <rFont val="Times New Roman"/>
            <family val="1"/>
            <charset val="204"/>
          </rPr>
          <t xml:space="preserve"> за информиране на местните общостни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rFont val="Times New Roman"/>
            <family val="1"/>
            <charset val="204"/>
          </rPr>
          <t>2.</t>
        </r>
        <r>
          <rPr>
            <sz val="9"/>
            <rFont val="Times New Roman"/>
            <family val="1"/>
            <charset val="204"/>
          </rPr>
          <t xml:space="preserve"> З</t>
        </r>
        <r>
          <rPr>
            <b/>
            <sz val="9"/>
            <rFont val="Times New Roman"/>
            <family val="1"/>
            <charset val="204"/>
          </rPr>
          <t xml:space="preserve">а общини </t>
        </r>
        <r>
          <rPr>
            <sz val="9"/>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rFont val="Times New Roman"/>
            <family val="1"/>
            <charset val="204"/>
          </rPr>
          <t xml:space="preserve">3. </t>
        </r>
        <r>
          <rPr>
            <sz val="9"/>
            <rFont val="Times New Roman"/>
            <family val="1"/>
            <charset val="204"/>
          </rPr>
          <t xml:space="preserve">За популяризиране на резултати и препоръки от извършени хоризонтални и междусекторни оценки сред структите на Системата, както и сред всички заинтересовани страни.   </t>
        </r>
      </is>
    </nc>
  </rcc>
  <rcc rId="217" sId="4">
    <oc r="F54"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присъсвени, дистанционни събития, форуми, както и всяка документирана инициатива за    
УО изчислява кумулативно показателя към 30 юни и 31 декември.</t>
      </is>
    </oc>
    <nc r="F54" t="inlineStr">
      <is>
        <t>Всеки бенефициента предоставя текущона УО информация за проведените събития през отчетния период заедно с доказателства относно тяхнто провеждане. 
Отчитат се присъсвени,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is>
    </nc>
  </rcc>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5" numFmtId="4">
    <nc r="T4">
      <v>1</v>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8" sId="2" numFmtId="4">
    <oc r="G7">
      <v>10481012</v>
    </oc>
    <nc r="G7">
      <v>11716767</v>
    </nc>
  </rcc>
  <rcc rId="229" sId="2" numFmtId="4">
    <oc r="H7">
      <v>3420001</v>
    </oc>
    <nc r="H7">
      <v>2184246</v>
    </nc>
  </rcc>
  <rcc rId="230" sId="2" numFmtId="4">
    <oc r="G8">
      <v>60841773</v>
    </oc>
    <nc r="G8">
      <v>72549634</v>
    </nc>
  </rcc>
  <rcc rId="231" sId="2" numFmtId="4">
    <oc r="H8">
      <v>25536714</v>
    </oc>
    <nc r="H8">
      <v>13828853</v>
    </nc>
  </rcc>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'!$A$1:$F$65</formula>
    <oldFormula>'ПОКАЗАТЕЛИ ПТП '!$A$1:$F$65</oldFormula>
  </rdn>
  <rdn rId="0" localSheetId="4" customView="1" name="Z_13EBDE9D_EC74_4522_9EED_363E735B4A78_.wvu.FilterData" hidden="1" oldHidden="1">
    <formula>'ПОКАЗАТЕЛИ ПТП '!$A$1:$M$67</formula>
    <oldFormula>'ПОКАЗАТЕЛИ ПТП '!$A$1:$M$67</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1" sId="4">
    <oc r="E24" t="inlineStr">
      <is>
        <t>Индикаторът измерва степента на намаляване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t>
      </is>
    </oc>
    <nc r="E24" t="inlineStr">
      <is>
        <r>
          <t>Индикаторът измерва процентното намаление</t>
        </r>
        <r>
          <rPr>
            <strike/>
            <sz val="9"/>
            <rFont val="Times New Roman"/>
            <family val="1"/>
            <charset val="204"/>
          </rPr>
          <t xml:space="preserve"> </t>
        </r>
        <r>
          <rPr>
            <sz val="9"/>
            <rFont val="Times New Roman"/>
            <family val="1"/>
            <charset val="204"/>
          </rPr>
          <t xml:space="preserve">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 
</t>
        </r>
      </is>
    </nc>
  </rcc>
  <rcc rId="242" sId="4">
    <nc r="F25" t="inlineStr">
      <is>
        <t>,</t>
      </is>
    </nc>
  </rcc>
  <rcc rId="243"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се умножи по 100%.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Индикаторът се изчислява средноаритметично за всични отчетни периоди в периода 2023-2029
</t>
      </is>
    </nc>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 sId="4" numFmtId="4">
    <oc r="C24">
      <f>'Подробно разпределение '!P10</f>
    </oc>
    <nc r="C24">
      <v>10</v>
    </nc>
  </rcc>
  <rcc rId="245" sId="4" numFmtId="4">
    <oc r="D24">
      <f>'Подробно разпределение '!AD10</f>
    </oc>
    <nc r="D24">
      <v>30</v>
    </nc>
  </rcc>
  <rcc rId="246" sId="4" numFmtId="4">
    <oc r="C27">
      <f>'Подробно разпределение '!P11</f>
    </oc>
    <nc r="C27">
      <v>20</v>
    </nc>
  </rcc>
  <rcc rId="247" sId="4" numFmtId="4">
    <oc r="D27">
      <f>'Подробно разпределение '!AD11</f>
    </oc>
    <nc r="D27">
      <v>40</v>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 sId="4">
    <o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Индикаторът се изчислява средноаритметично за всични отчетни периоди в периода 2023-2029
</t>
      </is>
    </oc>
    <nc r="F24"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nc>
  </rcc>
  <rcc rId="249" sId="4">
    <o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се раздели средният брой изискуеми документи за отчет по проекти по пограми през съответното календарно шестмесечие на 6,56, което е средният брой декларации на отчет през програмен период 2014-2020 г. и се умножи по 100.
</t>
      </is>
    </oc>
    <n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0" sId="4">
    <o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документи за отчетен период/16,1)*100 % 
Индикаторът се изчислява средноаритметично за всични отчетни периоди в периода 2023-2029
</t>
      </is>
    </oc>
    <nc r="F27" t="inlineStr">
      <is>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всични отчетни периоди в периода 2023-2029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4">
    <oc r="E15" t="inlineStr">
      <is>
        <t>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Индикаторът ще допринесе за повишаване на качеството на проверките, извършвани от АОП.
Индикаторът ще допринесе за намаляване на грешките, свързани с ОП.</t>
      </is>
    </oc>
    <nc r="E15" t="inlineStr">
      <is>
        <t xml:space="preserve">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Индикаторът ще допринесе за повишаване на качеството на проверките, извършвани от АОП.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'!$A$1:$F$65</formula>
    <oldFormula>'ПОКАЗАТЕЛИ ПТП '!$A$1:$F$65</oldFormula>
  </rdn>
  <rdn rId="0" localSheetId="4" customView="1" name="Z_77799D3C_38E2_410A_80FA_AECD8E6AB89B_.wvu.FilterData" hidden="1" oldHidden="1">
    <formula>'ПОКАЗАТЕЛИ ПТП '!$A$1:$M$67</formula>
    <oldFormula>'ПОКАЗАТЕЛИ ПТП '!$A$1:$M$67</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1" sId="4">
    <oc r="E27" t="inlineStr">
      <is>
        <t>Индикаторът измерва степента намаляването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деклации на отчет, изчислено въз основа на данните в ИСУН за програмите, финансирани от ЕСФ, ЕФРР, КФ, ЕФМДР и ФЕПНЛ за периода 2014-2020</t>
      </is>
    </oc>
    <nc r="E27" t="inlineStr">
      <is>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деклации на отчет, изчислено въз основа на данните в ИСУН за програмите, финансирани от ЕСФ, ЕФРР, КФ, ЕФМДР и ФЕПНЛ за периода 2014-2020</t>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2" sId="5" numFmtId="4">
    <oc r="C10">
      <v>90</v>
    </oc>
    <nc r="C10">
      <v>10</v>
    </nc>
  </rcc>
  <rcc rId="253" sId="5" numFmtId="4">
    <oc r="C11">
      <v>80</v>
    </oc>
    <nc r="C11">
      <v>20</v>
    </nc>
  </rcc>
  <rcc rId="254" sId="5" numFmtId="4">
    <oc r="Q10">
      <v>70</v>
    </oc>
    <nc r="Q10">
      <v>30</v>
    </nc>
  </rcc>
  <rcc rId="255" sId="5" numFmtId="4">
    <oc r="Q11">
      <v>60</v>
    </oc>
    <nc r="Q11">
      <v>40</v>
    </nc>
  </rcc>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6" sId="4" numFmtId="4">
    <oc r="C25">
      <v>90</v>
    </oc>
    <nc r="C25">
      <v>10</v>
    </nc>
  </rcc>
  <rcc rId="257" sId="4" numFmtId="4">
    <oc r="C26">
      <v>90</v>
    </oc>
    <nc r="C26">
      <v>10</v>
    </nc>
  </rcc>
  <rcc rId="258" sId="4" numFmtId="4">
    <oc r="D25">
      <v>70</v>
    </oc>
    <nc r="D25">
      <v>30</v>
    </nc>
  </rcc>
  <rcc rId="259" sId="4" numFmtId="4">
    <oc r="D26">
      <v>70</v>
    </oc>
    <nc r="D26">
      <v>30</v>
    </nc>
  </rcc>
  <rcc rId="260" sId="4" numFmtId="4">
    <oc r="C28">
      <v>80</v>
    </oc>
    <nc r="C28">
      <v>20</v>
    </nc>
  </rcc>
  <rcc rId="261" sId="4" numFmtId="4">
    <oc r="C29">
      <v>80</v>
    </oc>
    <nc r="C29">
      <v>20</v>
    </nc>
  </rcc>
  <rcc rId="262" sId="4" numFmtId="4">
    <oc r="D29">
      <v>60</v>
    </oc>
    <nc r="D29">
      <v>40</v>
    </nc>
  </rcc>
  <rcc rId="263" sId="4" numFmtId="4">
    <oc r="D28">
      <v>60</v>
    </oc>
    <nc r="D28">
      <v>40</v>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64" sId="4" ref="A54:XFD56" action="insertRow"/>
  <rfmt sheetId="4" sqref="A54" start="0" length="0">
    <dxf>
      <fill>
        <patternFill>
          <bgColor theme="5" tint="0.79998168889431442"/>
        </patternFill>
      </fill>
    </dxf>
  </rfmt>
  <rcc rId="265" sId="4" odxf="1" dxf="1">
    <nc r="B54" t="inlineStr">
      <is>
        <t>брой</t>
      </is>
    </nc>
    <odxf>
      <fill>
        <patternFill>
          <bgColor theme="9" tint="0.79998168889431442"/>
        </patternFill>
      </fill>
      <alignment horizontal="left" readingOrder="0"/>
    </odxf>
    <ndxf>
      <fill>
        <patternFill>
          <bgColor theme="5" tint="0.79998168889431442"/>
        </patternFill>
      </fill>
      <alignment horizontal="general" readingOrder="0"/>
    </ndxf>
  </rcc>
  <rfmt sheetId="4" sqref="C54" start="0" length="0">
    <dxf>
      <font>
        <i/>
        <sz val="9"/>
        <color auto="1"/>
        <name val="Times New Roman"/>
        <scheme val="none"/>
      </font>
      <fill>
        <patternFill>
          <bgColor theme="5" tint="0.79998168889431442"/>
        </patternFill>
      </fill>
      <alignment horizontal="general" readingOrder="0"/>
    </dxf>
  </rfmt>
  <rfmt sheetId="4" sqref="D54" start="0" length="0">
    <dxf>
      <font>
        <i/>
        <sz val="9"/>
        <color auto="1"/>
        <name val="Times New Roman"/>
        <scheme val="none"/>
      </font>
      <fill>
        <patternFill>
          <bgColor theme="5" tint="0.79998168889431442"/>
        </patternFill>
      </fill>
      <alignment horizontal="general" readingOrder="0"/>
    </dxf>
  </rfmt>
  <rcc rId="266" sId="4" odxf="1" dxf="1">
    <nc r="E54" t="inlineStr">
      <is>
        <t xml:space="preserve">Брой ОГО и СИП (бенефициент или партньор), подкрепени за провеждане на информационни събития с цел популяризиране на резултатите от програмите от СП.
Отчитат се ОГО и СИП, провели събития в присъствена или дистанционна форма.
</t>
      </is>
    </nc>
    <odxf>
      <fill>
        <patternFill>
          <bgColor theme="9" tint="0.79998168889431442"/>
        </patternFill>
      </fill>
    </odxf>
    <ndxf>
      <fill>
        <patternFill>
          <bgColor theme="5" tint="0.79998168889431442"/>
        </patternFill>
      </fill>
    </ndxf>
  </rcc>
  <rcc rId="267" sId="4" odxf="1" dxf="1">
    <nc r="F54" t="inlineStr">
      <is>
        <t xml:space="preserve">Отчита се броят на подкрепените организации ОГО и СИП, като бенефициент или партньор в проект по ПТП.
Показателят се изчислява на 2 пъти годишно, към 30 юни и 31 декември, от УО.
Показателят се изчислява кумулативно.
</t>
      </is>
    </nc>
    <odxf>
      <numFmt numFmtId="3" formatCode="#,##0"/>
      <fill>
        <patternFill>
          <bgColor theme="9" tint="0.79998168889431442"/>
        </patternFill>
      </fill>
    </odxf>
    <ndxf>
      <numFmt numFmtId="13" formatCode="0%"/>
      <fill>
        <patternFill>
          <bgColor theme="5" tint="0.79998168889431442"/>
        </patternFill>
      </fill>
    </ndxf>
  </rcc>
  <rcc rId="268" sId="4" odxf="1" dxf="1">
    <nc r="G54" t="inlineStr">
      <is>
        <t>3. Ангажиране на СИП и ОГО за добро управление на фондовете</t>
      </is>
    </nc>
    <odxf>
      <fill>
        <patternFill>
          <bgColor theme="9" tint="0.79998168889431442"/>
        </patternFill>
      </fill>
    </odxf>
    <ndxf>
      <fill>
        <patternFill>
          <bgColor theme="5" tint="0.79998168889431442"/>
        </patternFill>
      </fill>
    </ndxf>
  </rcc>
  <rcc rId="269" sId="4" odxf="1" dxf="1">
    <nc r="H54" t="inlineStr">
      <is>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is>
    </nc>
    <odxf>
      <font>
        <b/>
        <sz val="9"/>
        <color auto="1"/>
        <name val="Times New Roman"/>
        <scheme val="none"/>
      </font>
      <numFmt numFmtId="3" formatCode="#,##0"/>
      <fill>
        <patternFill>
          <bgColor theme="9" tint="0.79998168889431442"/>
        </patternFill>
      </fill>
      <alignment horizontal="left" readingOrder="0"/>
    </odxf>
    <ndxf>
      <font>
        <b val="0"/>
        <sz val="9"/>
        <color auto="1"/>
        <name val="Times New Roman"/>
        <scheme val="none"/>
      </font>
      <numFmt numFmtId="0" formatCode="General"/>
      <fill>
        <patternFill>
          <bgColor theme="5" tint="0.79998168889431442"/>
        </patternFill>
      </fill>
      <alignment horizontal="general" readingOrder="0"/>
    </ndxf>
  </rcc>
  <rcc rId="270" sId="4" odxf="1" dxf="1">
    <nc r="I54"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t>
        </r>
        <r>
          <rPr>
            <sz val="9"/>
            <color rgb="FFFF0000"/>
            <rFont val="Times New Roman"/>
            <family val="1"/>
            <charset val="204"/>
          </rPr>
          <t>по-силно чувство за собственост върху</t>
        </r>
        <r>
          <rPr>
            <sz val="9"/>
            <rFont val="Times New Roman"/>
            <family val="1"/>
            <charset val="204"/>
          </rPr>
          <t xml:space="preserve"> резултатите от страна на гражданите.
</t>
        </r>
      </is>
    </nc>
    <odxf>
      <font>
        <i/>
        <sz val="9"/>
        <color auto="1"/>
        <name val="Times New Roman"/>
        <scheme val="none"/>
      </font>
      <fill>
        <patternFill>
          <bgColor theme="9" tint="0.79998168889431442"/>
        </patternFill>
      </fill>
      <alignment horizontal="right" readingOrder="0"/>
    </odxf>
    <ndxf>
      <font>
        <i val="0"/>
        <sz val="9"/>
        <color auto="1"/>
        <name val="Times New Roman"/>
        <scheme val="none"/>
      </font>
      <fill>
        <patternFill>
          <bgColor theme="5" tint="0.79998168889431442"/>
        </patternFill>
      </fill>
      <alignment horizontal="general" readingOrder="0"/>
    </ndxf>
  </rcc>
  <rcc rId="271" sId="4" odxf="1" dxf="1" numFmtId="4">
    <nc r="J54">
      <v>179</v>
    </nc>
    <odxf>
      <font>
        <b val="0"/>
        <i/>
        <sz val="9"/>
        <name val="Times New Roman"/>
        <scheme val="none"/>
      </font>
      <fill>
        <patternFill>
          <bgColor theme="9" tint="0.79998168889431442"/>
        </patternFill>
      </fill>
      <alignment horizontal="right" vertical="top" readingOrder="0"/>
    </odxf>
    <ndxf>
      <font>
        <b/>
        <i val="0"/>
        <sz val="9"/>
        <name val="Times New Roman"/>
        <scheme val="none"/>
      </font>
      <fill>
        <patternFill>
          <bgColor theme="0" tint="-0.14999847407452621"/>
        </patternFill>
      </fill>
      <alignment horizontal="center" vertical="center" readingOrder="0"/>
    </ndxf>
  </rcc>
  <rcc rId="272" sId="4" odxf="1" dxf="1" numFmtId="4">
    <nc r="K54">
      <v>3460826.9699999997</v>
    </nc>
    <odxf>
      <font>
        <b val="0"/>
        <i/>
        <sz val="9"/>
        <name val="Times New Roman"/>
        <scheme val="none"/>
      </font>
      <fill>
        <patternFill>
          <bgColor theme="9" tint="0.79998168889431442"/>
        </patternFill>
      </fill>
      <alignment vertical="top" readingOrder="0"/>
    </odxf>
    <ndxf>
      <font>
        <b/>
        <i val="0"/>
        <sz val="9"/>
        <name val="Times New Roman"/>
        <scheme val="none"/>
      </font>
      <fill>
        <patternFill>
          <bgColor theme="0" tint="-0.14999847407452621"/>
        </patternFill>
      </fill>
      <alignment vertical="center" readingOrder="0"/>
    </ndxf>
  </rcc>
  <rcc rId="273" sId="4" odxf="1" dxf="1" numFmtId="4">
    <nc r="L54">
      <v>8199829.5599999996</v>
    </nc>
    <odxf>
      <font>
        <b val="0"/>
        <i/>
        <sz val="9"/>
        <name val="Times New Roman"/>
        <scheme val="none"/>
      </font>
      <fill>
        <patternFill>
          <bgColor theme="9" tint="0.79998168889431442"/>
        </patternFill>
      </fill>
      <alignment vertical="top" readingOrder="0"/>
    </odxf>
    <ndxf>
      <font>
        <b/>
        <i val="0"/>
        <sz val="9"/>
        <name val="Times New Roman"/>
        <scheme val="none"/>
      </font>
      <fill>
        <patternFill>
          <bgColor theme="0" tint="-0.14999847407452621"/>
        </patternFill>
      </fill>
      <alignment vertical="center" readingOrder="0"/>
    </ndxf>
  </rcc>
  <rfmt sheetId="4" sqref="M54" start="0" length="0">
    <dxf>
      <font>
        <b/>
        <i val="0"/>
        <sz val="9"/>
        <name val="Times New Roman"/>
        <scheme val="none"/>
      </font>
      <fill>
        <patternFill>
          <bgColor theme="0" tint="-0.14999847407452621"/>
        </patternFill>
      </fill>
      <alignment horizontal="center" vertical="center" readingOrder="0"/>
    </dxf>
  </rfmt>
  <rcc rId="274" sId="4" numFmtId="4">
    <nc r="T54">
      <v>10</v>
    </nc>
  </rcc>
  <rcc rId="275" sId="4">
    <nc r="B55" t="inlineStr">
      <is>
        <t>брой</t>
      </is>
    </nc>
  </rcc>
  <rcc rId="276" sId="4">
    <nc r="C55">
      <f>ROUND(C54/6,0)</f>
    </nc>
  </rcc>
  <rcc rId="277" sId="4">
    <nc r="D55">
      <f>ROUND(D54/6,0)</f>
    </nc>
  </rcc>
  <rcc rId="278" sId="4">
    <nc r="J55" t="inlineStr">
      <is>
        <t>Преход</t>
      </is>
    </nc>
  </rcc>
  <rcc rId="279" sId="4" numFmtId="4">
    <nc r="K55">
      <v>479749.11</v>
    </nc>
  </rcc>
  <rcc rId="280" sId="4" numFmtId="4">
    <nc r="L55">
      <v>1340439.57</v>
    </nc>
  </rcc>
  <rcc rId="281" sId="4" numFmtId="13">
    <nc r="M55">
      <v>0.7</v>
    </nc>
  </rcc>
  <rcc rId="282" sId="4">
    <nc r="B56" t="inlineStr">
      <is>
        <t>брой</t>
      </is>
    </nc>
  </rcc>
  <rcc rId="283" sId="4">
    <nc r="C56">
      <f>C54-C55</f>
    </nc>
  </rcc>
  <rcc rId="284" sId="4">
    <nc r="D56">
      <f>D54-D55</f>
    </nc>
  </rcc>
  <rcc rId="285" sId="4">
    <nc r="J56" t="inlineStr">
      <is>
        <t>По-слабо развити региони</t>
      </is>
    </nc>
  </rcc>
  <rcc rId="286" sId="4" numFmtId="4">
    <nc r="K56">
      <v>2981077.86</v>
    </nc>
  </rcc>
  <rcc rId="287" sId="4" numFmtId="4">
    <nc r="L56">
      <v>6859389.9900000002</v>
    </nc>
  </rcc>
  <rcc rId="288" sId="4" numFmtId="13">
    <nc r="M56">
      <v>0.85</v>
    </nc>
  </rcc>
  <rcc rId="289" sId="4">
    <nc r="A54" t="inlineStr">
      <is>
        <t>(О3-3) Пактове за почтеност</t>
      </is>
    </nc>
  </rcc>
  <rcc rId="290" sId="4" numFmtId="4">
    <nc r="C54">
      <v>0</v>
    </nc>
  </rcc>
  <rcc rId="291" sId="4" numFmtId="4">
    <nc r="D54">
      <v>8</v>
    </nc>
  </rcc>
  <rrc rId="292" sId="5" ref="A19:XFD19" action="insertRow"/>
  <rcc rId="293" sId="5">
    <nc r="A19" t="inlineStr">
      <is>
        <t>(О3-2)</t>
      </is>
    </nc>
  </rcc>
  <rrc rId="294" sId="5" ref="A20:XFD20" action="insertRow"/>
  <rcc rId="295" sId="5">
    <nc r="A20" t="inlineStr">
      <is>
        <t>(О3-3)</t>
      </is>
    </nc>
  </rcc>
  <rcc rId="296" sId="5">
    <oc r="A21" t="inlineStr">
      <is>
        <t>(О4-1)</t>
      </is>
    </oc>
    <nc r="A21" t="inlineStr">
      <is>
        <t>(О3-2)</t>
      </is>
    </nc>
  </rcc>
  <rrc rId="297" sId="5" ref="A19:XFD19" action="deleteRow">
    <rfmt sheetId="5" xfDxf="1" sqref="A19:XFD19" start="0" length="0">
      <dxf>
        <fill>
          <patternFill patternType="solid">
            <bgColor theme="0"/>
          </patternFill>
        </fill>
      </dxf>
    </rfmt>
    <rcc rId="0" sId="5" dxf="1">
      <nc r="A19" t="inlineStr">
        <is>
          <t>(О3-2)</t>
        </is>
      </nc>
      <ndxf>
        <font>
          <sz val="11.5"/>
          <color theme="1"/>
          <name val="Times New Roman"/>
          <scheme val="none"/>
        </font>
        <fill>
          <patternFill>
            <bgColor theme="7" tint="0.79998168889431442"/>
          </patternFill>
        </fill>
        <alignment vertical="center" wrapText="1" readingOrder="0"/>
        <border outline="0">
          <left style="thin">
            <color indexed="64"/>
          </left>
          <right style="thin">
            <color indexed="64"/>
          </right>
          <top style="thin">
            <color indexed="64"/>
          </top>
          <bottom style="thin">
            <color indexed="64"/>
          </bottom>
        </border>
      </ndxf>
    </rcc>
    <rfmt sheetId="5" sqref="B19" start="0" length="0">
      <dxf>
        <font>
          <sz val="11.5"/>
          <color theme="1"/>
          <name val="Times New Roman"/>
          <scheme val="none"/>
        </font>
        <fill>
          <patternFill>
            <bgColor theme="7" tint="0.79998168889431442"/>
          </patternFill>
        </fill>
        <alignment vertical="center" wrapText="1" readingOrder="0"/>
        <border outline="0">
          <left style="thin">
            <color indexed="64"/>
          </left>
          <right style="thin">
            <color indexed="64"/>
          </right>
          <top style="thin">
            <color indexed="64"/>
          </top>
          <bottom style="thin">
            <color indexed="64"/>
          </bottom>
        </border>
      </dxf>
    </rfmt>
    <rfmt sheetId="5" sqref="C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D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E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F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G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H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I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J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K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L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M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N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O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P19" start="0" length="0">
      <dxf>
        <font>
          <b/>
          <sz val="11"/>
          <color theme="1"/>
          <name val="Times New Roman"/>
          <scheme val="none"/>
        </font>
        <numFmt numFmtId="3" formatCode="#,##0"/>
        <fill>
          <patternFill>
            <bgColor theme="9" tint="0.59999389629810485"/>
          </patternFill>
        </fill>
        <alignment vertical="distributed" readingOrder="0"/>
        <border outline="0">
          <left style="thin">
            <color indexed="64"/>
          </left>
          <right style="thin">
            <color indexed="64"/>
          </right>
          <top style="thin">
            <color indexed="64"/>
          </top>
          <bottom style="thin">
            <color indexed="64"/>
          </bottom>
        </border>
      </dxf>
    </rfmt>
    <rfmt sheetId="5" sqref="Q19" start="0" length="0">
      <dxf>
        <font>
          <sz val="11"/>
          <color theme="1"/>
          <name val="Times New Roman"/>
          <scheme val="none"/>
        </font>
        <numFmt numFmtId="3" formatCode="#,##0"/>
        <fill>
          <patternFill>
            <bgColor theme="7" tint="0.79998168889431442"/>
          </patternFill>
        </fill>
        <alignment vertical="distributed" wrapText="1" readingOrder="0"/>
        <border outline="0">
          <left style="thin">
            <color indexed="64"/>
          </left>
          <right style="thin">
            <color indexed="64"/>
          </right>
          <top style="thin">
            <color indexed="64"/>
          </top>
          <bottom style="thin">
            <color indexed="64"/>
          </bottom>
        </border>
      </dxf>
    </rfmt>
    <rfmt sheetId="5" sqref="R19" start="0" length="0">
      <dxf>
        <font>
          <sz val="9"/>
          <color theme="1"/>
          <name val="Times New Roman"/>
          <scheme val="none"/>
        </font>
        <numFmt numFmtId="3" formatCode="#,##0"/>
        <fill>
          <patternFill>
            <bgColor theme="7" tint="0.79998168889431442"/>
          </patternFill>
        </fill>
        <alignment vertical="distributed" wrapText="1" readingOrder="0"/>
        <border outline="0">
          <left style="thin">
            <color indexed="64"/>
          </left>
          <right style="thin">
            <color indexed="64"/>
          </right>
          <top style="thin">
            <color indexed="64"/>
          </top>
          <bottom style="thin">
            <color indexed="64"/>
          </bottom>
        </border>
      </dxf>
    </rfmt>
    <rfmt sheetId="5" sqref="S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T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U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V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W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X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Y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Z19" start="0" length="0">
      <dxf>
        <font>
          <sz val="11"/>
          <color auto="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A19" start="0" length="0">
      <dxf>
        <font>
          <sz val="11"/>
          <color auto="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B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C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D19" start="0" length="0">
      <dxf>
        <font>
          <b/>
          <sz val="11"/>
          <color theme="1"/>
          <name val="Times New Roman"/>
          <scheme val="none"/>
        </font>
        <numFmt numFmtId="3" formatCode="#,##0"/>
        <fill>
          <patternFill>
            <bgColor theme="9" tint="0.59999389629810485"/>
          </patternFill>
        </fill>
        <alignment vertical="distributed" readingOrder="0"/>
        <border outline="0">
          <left style="thin">
            <color indexed="64"/>
          </left>
          <right style="thin">
            <color indexed="64"/>
          </right>
          <top style="thin">
            <color indexed="64"/>
          </top>
          <bottom style="thin">
            <color indexed="64"/>
          </bottom>
        </border>
      </dxf>
    </rfmt>
  </rrc>
  <rrc rId="298" sId="5" ref="A19:XFD19" action="deleteRow">
    <rfmt sheetId="5" xfDxf="1" sqref="A19:XFD19" start="0" length="0">
      <dxf>
        <fill>
          <patternFill patternType="solid">
            <bgColor theme="0"/>
          </patternFill>
        </fill>
      </dxf>
    </rfmt>
    <rcc rId="0" sId="5" dxf="1">
      <nc r="A19" t="inlineStr">
        <is>
          <t>(О3-3)</t>
        </is>
      </nc>
      <ndxf>
        <font>
          <sz val="11.5"/>
          <color theme="1"/>
          <name val="Times New Roman"/>
          <scheme val="none"/>
        </font>
        <fill>
          <patternFill>
            <bgColor theme="7" tint="0.79998168889431442"/>
          </patternFill>
        </fill>
        <alignment vertical="center" wrapText="1" readingOrder="0"/>
        <border outline="0">
          <left style="thin">
            <color indexed="64"/>
          </left>
          <right style="thin">
            <color indexed="64"/>
          </right>
          <top style="thin">
            <color indexed="64"/>
          </top>
          <bottom style="thin">
            <color indexed="64"/>
          </bottom>
        </border>
      </ndxf>
    </rcc>
    <rfmt sheetId="5" sqref="B19" start="0" length="0">
      <dxf>
        <font>
          <sz val="11.5"/>
          <color theme="1"/>
          <name val="Times New Roman"/>
          <scheme val="none"/>
        </font>
        <fill>
          <patternFill>
            <bgColor theme="7" tint="0.79998168889431442"/>
          </patternFill>
        </fill>
        <alignment vertical="center" wrapText="1" readingOrder="0"/>
        <border outline="0">
          <left style="thin">
            <color indexed="64"/>
          </left>
          <right style="thin">
            <color indexed="64"/>
          </right>
          <top style="thin">
            <color indexed="64"/>
          </top>
          <bottom style="thin">
            <color indexed="64"/>
          </bottom>
        </border>
      </dxf>
    </rfmt>
    <rfmt sheetId="5" sqref="C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D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E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F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G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H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I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J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K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L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M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N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O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P19" start="0" length="0">
      <dxf>
        <font>
          <b/>
          <sz val="11"/>
          <color theme="1"/>
          <name val="Times New Roman"/>
          <scheme val="none"/>
        </font>
        <numFmt numFmtId="3" formatCode="#,##0"/>
        <fill>
          <patternFill>
            <bgColor theme="9" tint="0.59999389629810485"/>
          </patternFill>
        </fill>
        <alignment vertical="distributed" readingOrder="0"/>
        <border outline="0">
          <left style="thin">
            <color indexed="64"/>
          </left>
          <right style="thin">
            <color indexed="64"/>
          </right>
          <top style="thin">
            <color indexed="64"/>
          </top>
          <bottom style="thin">
            <color indexed="64"/>
          </bottom>
        </border>
      </dxf>
    </rfmt>
    <rfmt sheetId="5" sqref="Q19" start="0" length="0">
      <dxf>
        <font>
          <sz val="11"/>
          <color theme="1"/>
          <name val="Times New Roman"/>
          <scheme val="none"/>
        </font>
        <numFmt numFmtId="3" formatCode="#,##0"/>
        <fill>
          <patternFill>
            <bgColor theme="7" tint="0.79998168889431442"/>
          </patternFill>
        </fill>
        <alignment vertical="distributed" wrapText="1" readingOrder="0"/>
        <border outline="0">
          <left style="thin">
            <color indexed="64"/>
          </left>
          <right style="thin">
            <color indexed="64"/>
          </right>
          <top style="thin">
            <color indexed="64"/>
          </top>
          <bottom style="thin">
            <color indexed="64"/>
          </bottom>
        </border>
      </dxf>
    </rfmt>
    <rfmt sheetId="5" sqref="R19" start="0" length="0">
      <dxf>
        <font>
          <sz val="9"/>
          <color theme="1"/>
          <name val="Times New Roman"/>
          <scheme val="none"/>
        </font>
        <numFmt numFmtId="3" formatCode="#,##0"/>
        <fill>
          <patternFill>
            <bgColor theme="7" tint="0.79998168889431442"/>
          </patternFill>
        </fill>
        <alignment vertical="distributed" wrapText="1" readingOrder="0"/>
        <border outline="0">
          <left style="thin">
            <color indexed="64"/>
          </left>
          <right style="thin">
            <color indexed="64"/>
          </right>
          <top style="thin">
            <color indexed="64"/>
          </top>
          <bottom style="thin">
            <color indexed="64"/>
          </bottom>
        </border>
      </dxf>
    </rfmt>
    <rfmt sheetId="5" sqref="S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T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U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V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W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X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Y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Z19" start="0" length="0">
      <dxf>
        <font>
          <sz val="11"/>
          <color auto="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A19" start="0" length="0">
      <dxf>
        <font>
          <sz val="11"/>
          <color auto="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B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C19" start="0" length="0">
      <dxf>
        <font>
          <sz val="11"/>
          <color theme="1"/>
          <name val="Times New Roman"/>
          <scheme val="none"/>
        </font>
        <numFmt numFmtId="3" formatCode="#,##0"/>
        <fill>
          <patternFill>
            <bgColor theme="7" tint="0.79998168889431442"/>
          </patternFill>
        </fill>
        <alignment vertical="distributed" readingOrder="0"/>
        <border outline="0">
          <left style="thin">
            <color indexed="64"/>
          </left>
          <right style="thin">
            <color indexed="64"/>
          </right>
          <top style="thin">
            <color indexed="64"/>
          </top>
          <bottom style="thin">
            <color indexed="64"/>
          </bottom>
        </border>
      </dxf>
    </rfmt>
    <rfmt sheetId="5" sqref="AD19" start="0" length="0">
      <dxf>
        <font>
          <b/>
          <sz val="11"/>
          <color theme="1"/>
          <name val="Times New Roman"/>
          <scheme val="none"/>
        </font>
        <numFmt numFmtId="3" formatCode="#,##0"/>
        <fill>
          <patternFill>
            <bgColor theme="9" tint="0.59999389629810485"/>
          </patternFill>
        </fill>
        <alignment vertical="distributed" readingOrder="0"/>
        <border outline="0">
          <left style="thin">
            <color indexed="64"/>
          </left>
          <right style="thin">
            <color indexed="64"/>
          </right>
          <top style="thin">
            <color indexed="64"/>
          </top>
          <bottom style="thin">
            <color indexed="64"/>
          </bottom>
        </border>
      </dxf>
    </rfmt>
  </rrc>
  <rrc rId="299" sId="5" ref="A20:XFD20" action="insertRow"/>
  <rcc rId="300" sId="5">
    <oc r="A21" t="inlineStr">
      <is>
        <t xml:space="preserve">(О4-2) </t>
      </is>
    </oc>
    <nc r="A21" t="inlineStr">
      <is>
        <t xml:space="preserve">(О4-1) </t>
      </is>
    </nc>
  </rcc>
  <rcc rId="301" sId="5">
    <oc r="A22" t="inlineStr">
      <is>
        <t xml:space="preserve">(О4-3)  </t>
      </is>
    </oc>
    <nc r="A22" t="inlineStr">
      <is>
        <t xml:space="preserve">(О4-2)  </t>
      </is>
    </nc>
  </rcc>
  <rcc rId="302" sId="5">
    <oc r="A23" t="inlineStr">
      <is>
        <t xml:space="preserve">(О4-4)  </t>
      </is>
    </oc>
    <nc r="A23" t="inlineStr">
      <is>
        <t xml:space="preserve">(О4-3)  </t>
      </is>
    </nc>
  </rcc>
  <rcc rId="303" sId="5">
    <oc r="A24" t="inlineStr">
      <is>
        <t xml:space="preserve">(O4-5) </t>
      </is>
    </oc>
    <nc r="A24" t="inlineStr">
      <is>
        <t xml:space="preserve">(O4-4) </t>
      </is>
    </nc>
  </rcc>
  <rcc rId="304" sId="5">
    <oc r="B21" t="inlineStr">
      <is>
        <r>
          <rPr>
            <sz val="11.5"/>
            <color theme="1"/>
            <rFont val="Times New Roman"/>
            <family val="1"/>
            <charset val="204"/>
          </rPr>
          <t xml:space="preserve">Информационни събития </t>
        </r>
      </is>
    </oc>
    <nc r="B21" t="inlineStr">
      <is>
        <t>Обществени консултации, медиации и презентации</t>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 sId="5">
    <nc r="A20" t="inlineStr">
      <is>
        <t>(О3-3)</t>
      </is>
    </nc>
  </rcc>
  <rcc rId="306" sId="5">
    <nc r="B20" t="inlineStr">
      <is>
        <t>Пактове за почтеност</t>
      </is>
    </nc>
  </rcc>
  <rcc rId="307" sId="5" numFmtId="4">
    <nc r="K22">
      <v>0</v>
    </nc>
  </rcc>
  <rcc rId="308" sId="5" numFmtId="4">
    <nc r="Y20">
      <v>8</v>
    </nc>
  </rcc>
  <rcc rId="309" sId="4" numFmtId="4">
    <oc r="C54">
      <v>0</v>
    </oc>
    <nc r="C54">
      <f>'Подробно разпределение '!P20</f>
    </nc>
  </rcc>
  <rcc rId="310" sId="4" numFmtId="4">
    <oc r="D54">
      <v>8</v>
    </oc>
    <nc r="D54">
      <f>'Подробно разпределение '!AD20</f>
    </nc>
  </rcc>
  <rcc rId="311" sId="5" numFmtId="4">
    <nc r="K20">
      <v>0</v>
    </nc>
  </rcc>
  <rcc rId="312" sId="5">
    <nc r="P20">
      <f>SUM(C20:O20)</f>
    </nc>
  </rcc>
  <rcc rId="313" sId="5">
    <nc r="AD20">
      <f>SUM(Q20:AC20)</f>
    </nc>
  </rcc>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4">
    <oc r="E54" t="inlineStr">
      <is>
        <t xml:space="preserve">Брой ОГО и СИП (бенефициент или партньор), подкрепени за провеждане на информационни събития с цел популяризиране на резултатите от програмите от СП.
Отчитат се ОГО и СИП, провели събития в присъствена или дистанционна форма.
</t>
      </is>
    </oc>
    <nc r="E54" t="inlineStr">
      <is>
        <t xml:space="preserve">Брой извършени пактове за почтеност на стратегически проекти по програмите от СП. </t>
      </is>
    </nc>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 sId="4" numFmtId="4">
    <oc r="J54">
      <v>179</v>
    </oc>
    <nc r="J54">
      <v>181</v>
    </nc>
  </rcc>
  <rcc rId="316" sId="4" numFmtId="4">
    <oc r="K54">
      <v>3460826.9699999997</v>
    </oc>
    <nc r="K54"/>
  </rcc>
  <rcc rId="317" sId="4" numFmtId="4">
    <oc r="L54">
      <v>8199829.5599999996</v>
    </oc>
    <nc r="L54"/>
  </rcc>
  <rcc rId="318" sId="4" numFmtId="4">
    <oc r="K55">
      <v>479749.11</v>
    </oc>
    <nc r="K55"/>
  </rcc>
  <rcc rId="319" sId="4" numFmtId="4">
    <oc r="L55">
      <v>1340439.57</v>
    </oc>
    <nc r="L55"/>
  </rcc>
  <rcc rId="320" sId="4" numFmtId="13">
    <oc r="M55">
      <v>0.7</v>
    </oc>
    <nc r="M55"/>
  </rcc>
  <rcc rId="321" sId="4" numFmtId="4">
    <oc r="K56">
      <v>2981077.86</v>
    </oc>
    <nc r="K56"/>
  </rcc>
  <rcc rId="322" sId="4" numFmtId="4">
    <oc r="L56">
      <v>6859389.9900000002</v>
    </oc>
    <nc r="L56"/>
  </rcc>
  <rcc rId="323" sId="4" numFmtId="13">
    <oc r="M56">
      <v>0.85</v>
    </oc>
    <nc r="M56"/>
  </rcc>
  <rcc rId="324" sId="4">
    <oc r="E54" t="inlineStr">
      <is>
        <t xml:space="preserve">Брой извършени пактове за почтеност на стратегически проекти по програмите от СП. </t>
      </is>
    </oc>
    <nc r="E54" t="inlineStr">
      <is>
        <t xml:space="preserve">Брой извършени пактове за почтеност на стратегически проекти по програмите от СП. 
Под извършен пак за почтеност се разбира цялостно проследяване на изпълнението на стратегическия проект от сключването на договор за БФП със съответния УО до одобрение на окончателния доклад. В случай, че по съответния стратегически проект се провеждат повече от една обществена поръчка, то пакта за почтеност трябва да покрие поръчката с най-голяма прогнозна стойсност, която спомага за постигане на основната цел на проекта. </t>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5" sId="4">
    <oc r="F54" t="inlineStr">
      <is>
        <t xml:space="preserve">Отчита се броят на подкрепените организации ОГО и СИП, като бенефициент или партньор в проект по ПТП.
Показателят се изчислява на 2 пъти годишно, към 30 юни и 31 декември, от УО.
Показателят се изчислява кумулативно.
</t>
      </is>
    </oc>
    <nc r="F54" t="inlineStr">
      <is>
        <t xml:space="preserve">Отчита се броят на подкрепените организации ОГО и СИП, като бенефициент или партньор в проект по ПТП.
Показателят се изчислява на кумулативно 2 пъти годишно, към 30 юни и 31 декември, от УО.
</t>
      </is>
    </nc>
  </rcc>
  <rcc rId="326" sId="4">
    <o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показателя към 30 юни и 31 декември.
Показателят се изчислява кумулативно.
</t>
      </is>
    </oc>
    <nc r="F36" t="inlineStr">
      <is>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7" sId="4">
    <o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показателя към 30 юни и 31 декември.
УО изчислява индикатора кумулативно на база генерирана информация от всички бенефициенти към съответния отчетен период. 
</t>
      </is>
    </oc>
    <nc r="F39" t="inlineStr">
      <is>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кумулативно показателя към 30 юни и 31 декември на база генерирана информация от всички бенефициенти към съответния отчетен период. 
</t>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8" sId="4">
    <oc r="F42" t="inlineStr">
      <is>
        <t xml:space="preserve">Отчита се броят на подкрепените ОГО.
Всеки бенефициент текущо предоставя на УО информация за броя на подкрепени ОГО.
Показателят се изчислява на 2 пъти годишно, към 30 юни и 31 декември, от УО.
Показателят се изчислява кумулативно.
</t>
      </is>
    </oc>
    <nc r="F42" t="inlineStr">
      <is>
        <t xml:space="preserve">Отчита се броят на подкрепените ОГО.
Всеки бенефициент текущо предоставя на УО информация за броя на подкрепени ОГО.
УО изчислява кумулативно показателя към 30 юни и 31 декември.
</t>
      </is>
    </nc>
  </rcc>
  <rcc rId="329" sId="4">
    <oc r="F45" t="inlineStr">
      <is>
        <t xml:space="preserve">Отчита се броят на подкрепените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общини. 
Показателят се изчислява на 2 пъти годишно, към 30 юни и 31 декември, от УО.
Показателят се изчислява кумулативно.
</t>
      </is>
    </oc>
    <nc r="F45" t="inlineStr">
      <is>
        <t xml:space="preserve">Отчита се броят на подкрепените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общини. 
УО изчислява кумулативно показателя към 30 юни и 31 декември.
</t>
      </is>
    </nc>
  </rcc>
  <rcc rId="330" sId="4">
    <oc r="F48" t="inlineStr">
      <is>
        <t xml:space="preserve">Отчита се броят на подкрепените организации ОГО и СИП, като бенефициент или партньор в проект по ПТП.
Показателят се изчислява на 2 пъти годишно, към 30 юни и 31 декември, от УО.
Показателят се изчислява кумулативно.
</t>
      </is>
    </oc>
    <nc r="F48" t="inlineStr">
      <is>
        <t>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 sId="4">
    <oc r="F15" t="inlineStr">
      <is>
        <t xml:space="preserve">АОП предоставя информация на шестмесечна база за процента на процедурите, при които са спазени препоръките от първия етап на предварителен контрол. Делът се формира като съотношение между броя на ОП по проекти по програмите от СП, при които са спазени препоръките от първия етап на предварителен контрол и броя на всички ОП по проекти по програмите от СП проверени на втори етап.
Източник на информация е модул „Контрол“ в ЦАИС ЕОП, който ще бъде надградена функционалността за филтриране на процедури, финансирани от фондовете на РОР. 
Междинната и целевата стойност са формирани на база данните за 2019 г. и 2020 г., според които 41% от проверените на втория етап ОП са без несъответствия, макар на първия етап да са имали. Целта е вследствие на оптимизираните процедури за предварителен контрол, този процент да се увеличи. 
</t>
      </is>
    </oc>
    <nc r="F15" t="inlineStr">
      <is>
        <t xml:space="preserve">АОП предоставя информация на шестмесечна база за процента на процедурите, при които са спазени препоръките от първия етап на предварителен контрол. Делът се формира като съотношение между броя на ОП по проекти по програмите от СП, при които са спазени препоръките от първия етап на предварителен контрол и броя на всички ОП по проекти по програмите от СП проверени на втори етап.
Източник на информация е модул „Контрол“ в ЦАИС ЕОП, който ще бъде надградена функционалността за филтриране на процедури, финансирани от фондовете на РОР. 
Междинната и целевата стойност са формирани на база данните за 2019 г. и 2020 г., според които 41% от проверените на втория етап ОП са без несъответствия, макар на първия етап да са имали.
</t>
      </is>
    </nc>
  </rcc>
  <rcc rId="25" sId="4">
    <oc r="I15" t="inlineStr">
      <is>
        <t>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t>
      </is>
    </oc>
    <nc r="I15" t="inlineStr">
      <is>
        <r>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r>
        <r>
          <rPr>
            <sz val="9"/>
            <color rgb="FFFF0000"/>
            <rFont val="Times New Roman"/>
            <family val="1"/>
            <charset val="204"/>
          </rPr>
          <t xml:space="preserve">Целта е вследствие на оптимизираните процедури за предварителен контрол, този процент да се увеличи. </t>
        </r>
      </is>
    </nc>
  </rcc>
  <rcc rId="26" sId="4">
    <oc r="H15" t="inlineStr">
      <is>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t>
      </is>
    </oc>
    <nc r="H15" t="inlineStr">
      <is>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и оптимиизране на процедурите за предварителен контрол
</t>
      </is>
    </nc>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4">
    <oc r="F51" t="inlineStr">
      <is>
        <t xml:space="preserve">Отчита се броят на подкрепените организации ОГО и СИП, като бенефициент или партньор в проект по ПТП.
Показателят се изчислява на 2 пъти годишно, към 30 юни и 31 декември, от УО.
Показателят се изчислява кумулативно.
</t>
      </is>
    </oc>
    <nc r="F51" t="inlineStr">
      <is>
        <t xml:space="preserve">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
</t>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 sId="4">
    <oc r="F63" t="inlineStr">
      <is>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Показателят се изчислява на 2 пъти годишно, към 30 юни и 31 декември, от УО.
Показателят се изчислява кумулативно.</t>
      </is>
    </oc>
    <nc r="F63" t="inlineStr">
      <is>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УО изчислява кумулативно показателя към 30 юни и 31 декември.</t>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3" sId="4">
    <oc r="F54" t="inlineStr">
      <is>
        <t xml:space="preserve">Отчита се броят на подкрепените организации ОГО и СИП, като бенефициент или партньор в проект по ПТП.
Показателят се изчислява на кумулативно 2 пъти годишно, към 30 юни и 31 декември, от УО.
</t>
      </is>
    </oc>
    <nc r="F54" t="inlineStr">
      <is>
        <t xml:space="preserve">Съответният бенефициент (НПО) отчита текущо приключили пактове за почтеност. 
УО извършва проверка за приключване на съответния стратегически проект в ИСУН преди верификация на отчетената стойност на индикатора. 
Показателят се изчислява на кумулативно 2 пъти годишно, към 30 юни и 31 декември, от УО.
</t>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4" sId="4">
    <oc r="F54" t="inlineStr">
      <is>
        <t xml:space="preserve">Съответният бенефициент (НПО) отчита текущо приключили пактове за почтеност. 
УО извършва проверка за приключване на съответния стратегически проект в ИСУН преди верификация на отчетената стойност на индикатора. 
Показателят се изчислява на кумулативно 2 пъти годишно, към 30 юни и 31 декември, от УО.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заедно с доказателства за представянето им на съответния УО и на съответния бенефициент. Доклад се представя за всяка календарна година от изпълнението на проекта. 
2. Обобщен доклад за проведена обществена поръчка (ОП) за избор на изпълнител, който включва доклад със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5" sId="4">
    <oc r="H54" t="inlineStr">
      <is>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t>
      </is>
    </oc>
    <nc r="H54" t="inlineStr">
      <is>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НПО на всики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 sId="4" numFmtId="4">
    <oc r="T54">
      <v>10</v>
    </oc>
    <nc r="T54"/>
  </rcc>
  <rcc rId="337" sId="4" numFmtId="4">
    <oc r="T42">
      <v>10</v>
    </oc>
    <nc r="T42">
      <v>5</v>
    </nc>
  </rcc>
  <rcc rId="338" sId="4" numFmtId="4">
    <oc r="T45">
      <v>10</v>
    </oc>
    <nc r="T45">
      <v>5</v>
    </nc>
  </rcc>
  <rfmt sheetId="4" sqref="A54:J54" start="0" length="2147483647">
    <dxf>
      <font>
        <color rgb="FFFF0000"/>
      </font>
    </dxf>
  </rfmt>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 sId="4">
    <oc r="E54" t="inlineStr">
      <is>
        <t xml:space="preserve">Брой извършени пактове за почтеност на стратегически проекти по програмите от СП. 
Под извършен пак за почтеност се разбира цялостно проследяване на изпълнението на стратегическия проект от сключването на договор за БФП със съответния УО до одобрение на окончателния доклад. В случай, че по съответния стратегически проект се провеждат повече от една обществена поръчка, то пакта за почтеност трябва да покрие поръчката с най-голяма прогнозна стойсност, която спомага за постигане на основната цел на проекта. </t>
      </is>
    </oc>
    <nc r="E54" t="inlineStr">
      <is>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стойсност или най-голяма сложност или с най-висок обществен интерес, която спомага за постигане на основната цел на проекта. </t>
      </is>
    </nc>
  </rcc>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0" sId="4">
    <o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заедно с доказателства за представянето им на съответния УО и на съответния бенефициент. Доклад се представя за всяка календарна година от изпълнението на проекта. 
2. Обобщен доклад за проведена обществена поръчка (ОП) за избор на изпълнител, който включва доклад със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Доклад се представя за всяка календарна година от изпълнението на проекта. 
2. Обобщен доклад за проведена обществена поръчка (ОП) за избор на изпълнител, който включва доклад със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1" sId="4">
    <o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Доклад се представя за всяка календарна година от изпълнението на проекта. 
2. Обобщен доклад за проведена обществена поръчка (ОП) за избор на изпълнител, който включва доклад със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2" sId="4">
    <o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заедно с доказателства за представянето им на съответния УО и на съответния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заедно.  Представя се доклад за всяка календарна година от изпълнението на проекта.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'!$A$1:$F$65</formula>
    <oldFormula>'ПОКАЗАТЕЛИ ПТП '!$A$1:$F$65</oldFormula>
  </rdn>
  <rdn rId="0" localSheetId="4" customView="1" name="Z_B426F9F8_EB1A_4D7B_9478_7E22D414CC12_.wvu.FilterData" hidden="1" oldHidden="1">
    <formula>'ПОКАЗАТЕЛИ ПТП '!$A$1:$M$67</formula>
    <oldFormula>'ПОКАЗАТЕЛИ ПТП '!$A$1:$M$67</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 sId="4">
    <o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заедно.  Представя се доклад за всяка календарна година от изпълнението на проекта.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oc>
    <nc r="F54" t="inlineStr">
      <is>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Бенефициентът трябва да комуникира докладите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4" sId="4">
    <o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проследяване на препоръки от  оценителните доклади за оптимизиране на административни процеси/ процедури в Системата
</t>
        </r>
      </is>
    </oc>
    <n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проследяване на препоръки от  оценителните доклади за оптимизиране на административни процеси/процедури в Системата
</t>
        </r>
      </is>
    </nc>
  </rcc>
  <rcc rId="345" sId="4">
    <oc r="H9" t="inlineStr">
      <is>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 фондовете на РОР:
- Насърчаване на по-широко използване на опростени разходи;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is>
    </oc>
    <nc r="H9" t="inlineStr">
      <is>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Насърчаване на по-широко използване на опростени разходи;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6" sId="4" numFmtId="4">
    <oc r="K3">
      <f>3071597.72-0.02</f>
    </oc>
    <nc r="K3">
      <v>3071597.7</v>
    </nc>
  </rcc>
  <rcc rId="347" sId="4" numFmtId="4">
    <oc r="L3">
      <v>7277618.2999999998</v>
    </oc>
    <nc r="L3">
      <v>7277618.29</v>
    </nc>
  </rcc>
  <rcc rId="348" sId="4" numFmtId="4">
    <oc r="K4">
      <f>425793.1</f>
    </oc>
    <nc r="K4">
      <v>425793.09</v>
    </nc>
  </rcc>
  <rcc rId="349" sId="4" numFmtId="4">
    <oc r="K5">
      <f>2645804.62-0.01</f>
    </oc>
    <nc r="K5">
      <v>2645804.61</v>
    </nc>
  </rcc>
  <rcc rId="350" sId="4" numFmtId="4">
    <oc r="L5">
      <v>6087934.1200000001</v>
    </oc>
    <nc r="L5">
      <v>6087934.1100000003</v>
    </nc>
  </rcc>
  <rcc rId="351" sId="4" numFmtId="4">
    <oc r="K6">
      <f>2330854.46-0.01</f>
    </oc>
    <nc r="K6">
      <v>2330854.4700000002</v>
    </nc>
  </rcc>
  <rcc rId="352" sId="4" numFmtId="4">
    <oc r="L6">
      <v>5522555.5700000003</v>
    </oc>
    <nc r="L6">
      <v>5522555.5800000001</v>
    </nc>
  </rcc>
  <rcc rId="353" sId="4" numFmtId="4">
    <oc r="L7">
      <v>902781.2</v>
    </oc>
    <nc r="L7">
      <v>902781.21</v>
    </nc>
  </rcc>
  <rcc rId="354" sId="4" numFmtId="4">
    <oc r="K8">
      <f>2007745.17-0.01</f>
    </oc>
    <nc r="K8">
      <v>2007745.18</v>
    </nc>
  </rcc>
  <rcc rId="355" sId="4" numFmtId="4">
    <oc r="K9">
      <v>5257261.1799999988</v>
    </oc>
    <nc r="K9">
      <v>5257261.1900000004</v>
    </nc>
  </rcc>
  <rcc rId="356" sId="4" numFmtId="4">
    <oc r="L9">
      <v>12456168.98</v>
    </oc>
    <nc r="L9">
      <v>12456168.99</v>
    </nc>
  </rcc>
  <rcc rId="357" sId="4" numFmtId="4">
    <oc r="L10">
      <v>2036230.35</v>
    </oc>
    <nc r="L10">
      <v>2036230.3499999996</v>
    </nc>
  </rcc>
  <rcc rId="358" sId="4" numFmtId="4">
    <oc r="K11">
      <v>4528485.5399999991</v>
    </oc>
    <nc r="K11">
      <v>4528485.55</v>
    </nc>
  </rcc>
  <rcc rId="359" sId="4" numFmtId="4">
    <oc r="L11">
      <v>10419938.630000001</v>
    </oc>
    <nc r="L11">
      <v>10419938.640000001</v>
    </nc>
  </rcc>
  <rcc rId="360" sId="4" numFmtId="4">
    <oc r="K12">
      <v>5844325.1099999994</v>
    </oc>
    <nc r="K12">
      <v>5844325.1200000001</v>
    </nc>
  </rcc>
  <rcc rId="361" sId="4" numFmtId="4">
    <oc r="K13">
      <v>810156</v>
    </oc>
    <nc r="K13">
      <v>810156.01</v>
    </nc>
  </rcc>
  <rcc rId="362" sId="4" numFmtId="4">
    <oc r="K14">
      <v>5034169.1099999994</v>
    </oc>
    <nc r="K14">
      <v>5034169.1100000003</v>
    </nc>
  </rcc>
  <rcc rId="363" sId="4" numFmtId="4">
    <oc r="K15">
      <v>870143.16999999993</v>
    </oc>
    <nc r="K15">
      <v>870143.18</v>
    </nc>
  </rcc>
  <rcc rId="364" sId="4" numFmtId="4">
    <oc r="K16">
      <v>120621.57</v>
    </oc>
    <nc r="K16">
      <v>120621.58</v>
    </nc>
  </rcc>
  <rcc rId="365" sId="4" numFmtId="4">
    <oc r="K18">
      <v>1792534.6199999999</v>
    </oc>
    <nc r="K18">
      <v>1792534.62</v>
    </nc>
  </rcc>
  <rcc rId="366" sId="4" numFmtId="4">
    <oc r="K21">
      <v>5622120.3699999992</v>
    </oc>
    <nc r="K21">
      <v>5622120.3799999999</v>
    </nc>
  </rcc>
  <rcc rId="367" sId="4" numFmtId="4">
    <oc r="K23">
      <v>4842766.9799999995</v>
    </oc>
    <nc r="K23">
      <v>4842766.99</v>
    </nc>
  </rcc>
  <rcc rId="368" sId="4" numFmtId="4">
    <oc r="K24">
      <v>6013696.2999999998</v>
    </oc>
    <nc r="K24">
      <v>6013696.3099999996</v>
    </nc>
  </rcc>
  <rcc rId="369" sId="4" numFmtId="4">
    <oc r="K26">
      <v>5180061.5999999996</v>
    </oc>
    <nc r="K26">
      <v>5180061.6100000003</v>
    </nc>
  </rcc>
  <rcc rId="370" sId="4" numFmtId="4">
    <oc r="K27">
      <v>6013696.2999999998</v>
    </oc>
    <nc r="K27">
      <v>6013696.3099999996</v>
    </nc>
  </rcc>
  <rcc rId="371" sId="4" numFmtId="4">
    <oc r="K29">
      <v>5180061.5999999996</v>
    </oc>
    <nc r="K29">
      <v>5180061.6100000003</v>
    </nc>
  </rcc>
  <rcc rId="372" sId="4" numFmtId="4">
    <oc r="K36">
      <v>6348869.8399999989</v>
    </oc>
    <nc r="K36">
      <v>6348869.8300000001</v>
    </nc>
  </rcc>
  <rcc rId="373" sId="4" numFmtId="4">
    <oc r="K38">
      <v>5468772.4899999993</v>
    </oc>
    <nc r="K38">
      <v>5468772.4800000004</v>
    </nc>
  </rcc>
  <rcc rId="374" sId="4" numFmtId="4">
    <oc r="K39">
      <v>4158565.7800000003</v>
    </oc>
    <nc r="K39">
      <v>4158565.77</v>
    </nc>
  </rcc>
  <rcc rId="375" sId="4" numFmtId="4">
    <oc r="K41">
      <v>3582094.25</v>
    </oc>
    <nc r="K41">
      <v>3582094.24</v>
    </nc>
  </rcc>
  <rcc rId="376" sId="4" numFmtId="4">
    <oc r="K42">
      <v>2785565.5999999996</v>
    </oc>
    <nc r="K42">
      <v>3095076.88</v>
    </nc>
  </rcc>
  <rcc rId="377" sId="4" numFmtId="4">
    <oc r="L42">
      <v>6599914.7800000003</v>
    </oc>
    <nc r="L42">
      <v>7333248.1200000001</v>
    </nc>
  </rcc>
  <rcc rId="378" sId="4" numFmtId="4">
    <oc r="K43">
      <v>386142.57</v>
    </oc>
    <nc r="K43">
      <v>429047.85</v>
    </nc>
  </rcc>
  <rcc rId="379" sId="4" numFmtId="4">
    <oc r="L43">
      <v>1078898.8799999999</v>
    </oc>
    <nc r="L43">
      <v>1198778.08</v>
    </nc>
  </rcc>
  <rcc rId="380" sId="4" numFmtId="4">
    <oc r="K44">
      <v>2399423.0299999998</v>
    </oc>
    <nc r="K44">
      <v>2666029.0299999998</v>
    </nc>
  </rcc>
  <rcc rId="381" sId="4" numFmtId="4">
    <oc r="L44">
      <v>5521015.9000000004</v>
    </oc>
    <nc r="L44">
      <v>6134470.04</v>
    </nc>
  </rcc>
  <rcc rId="382" sId="4" numFmtId="4">
    <oc r="K45">
      <v>2785565.5999999996</v>
    </oc>
    <nc r="K45">
      <v>2363504.75</v>
    </nc>
  </rcc>
  <rcc rId="383" sId="4" numFmtId="4">
    <oc r="L45">
      <v>6599914.7800000003</v>
    </oc>
    <nc r="L45">
      <v>5599914.7800000003</v>
    </nc>
  </rcc>
  <rcc rId="384" sId="4" numFmtId="4">
    <oc r="K46">
      <v>386142.57</v>
    </oc>
    <nc r="K46">
      <v>327635.36</v>
    </nc>
  </rcc>
  <rcc rId="385" sId="4" numFmtId="4">
    <oc r="L46">
      <v>1078898.8799999999</v>
    </oc>
    <nc r="L46">
      <v>915427.24</v>
    </nc>
  </rcc>
  <rcc rId="386" sId="4" numFmtId="4">
    <oc r="K47">
      <v>2399423.0299999998</v>
    </oc>
    <nc r="K47">
      <v>2035869.39</v>
    </nc>
  </rcc>
  <rcc rId="387" sId="4" numFmtId="4">
    <oc r="L47">
      <v>5521015.9000000004</v>
    </oc>
    <nc r="L47">
      <v>4684487.54</v>
    </nc>
  </rcc>
  <rcc rId="388" sId="4" numFmtId="4">
    <oc r="K48">
      <v>5571131.1799999997</v>
    </oc>
    <nc r="K48">
      <v>5458581.6100000003</v>
    </nc>
  </rcc>
  <rcc rId="389" sId="4" numFmtId="4">
    <oc r="L48">
      <v>13199829.560000001</v>
    </oc>
    <nc r="L48">
      <v>12933162.9</v>
    </nc>
  </rcc>
  <rcc rId="390" sId="4" numFmtId="4">
    <oc r="K49">
      <v>772285.14</v>
    </oc>
    <nc r="K49">
      <v>756683.21</v>
    </nc>
  </rcc>
  <rcc rId="391" sId="4" numFmtId="4">
    <oc r="L49">
      <v>2157797.7599999998</v>
    </oc>
    <nc r="L49">
      <v>2114205.3199999998</v>
    </nc>
  </rcc>
  <rcc rId="392" sId="4" numFmtId="4">
    <oc r="K50">
      <v>4798846.03</v>
    </oc>
    <nc r="K50">
      <v>4701898.4000000004</v>
    </nc>
  </rcc>
  <rcc rId="393" sId="4" numFmtId="4">
    <oc r="L50">
      <v>11042031.800000001</v>
    </oc>
    <nc r="L50">
      <v>10818957.58</v>
    </nc>
  </rcc>
  <rcc rId="394" sId="4" numFmtId="4">
    <oc r="K51">
      <v>3460826.9699999997</v>
    </oc>
    <nc r="K51">
      <v>3348277.41</v>
    </nc>
  </rcc>
  <rcc rId="395" sId="4" numFmtId="4">
    <oc r="L51">
      <v>8199829.5599999996</v>
    </oc>
    <nc r="L51">
      <v>7933162.9000000004</v>
    </nc>
  </rcc>
  <rcc rId="396" sId="4" numFmtId="4">
    <oc r="K52">
      <v>479749.11</v>
    </oc>
    <nc r="K52">
      <v>464147.19</v>
    </nc>
  </rcc>
  <rcc rId="397" sId="4" numFmtId="4">
    <oc r="L52">
      <v>1340439.57</v>
    </oc>
    <nc r="L52">
      <v>1296847.1299999999</v>
    </nc>
  </rcc>
  <rcc rId="398" sId="4" numFmtId="4">
    <oc r="K53">
      <v>2981077.86</v>
    </oc>
    <nc r="K53">
      <v>2884130.22</v>
    </nc>
  </rcc>
  <rcc rId="399" sId="4" numFmtId="4">
    <oc r="L53">
      <v>6859389.9900000002</v>
    </oc>
    <nc r="L53">
      <v>6636315.7699999996</v>
    </nc>
  </rcc>
  <rcc rId="400" sId="4" numFmtId="4">
    <nc r="K54">
      <v>337648.68</v>
    </nc>
  </rcc>
  <rcc rId="401" sId="4" numFmtId="4">
    <nc r="L54">
      <v>800000</v>
    </nc>
  </rcc>
  <rcc rId="402" sId="4" numFmtId="4">
    <nc r="K55">
      <v>46805.760000000002</v>
    </nc>
  </rcc>
  <rcc rId="403" sId="4" numFmtId="4">
    <nc r="L55">
      <v>130777.31000000006</v>
    </nc>
  </rcc>
  <rcc rId="404" sId="4" numFmtId="4">
    <nc r="K56">
      <v>290842.92</v>
    </nc>
  </rcc>
  <rcc rId="405" sId="4" numFmtId="4">
    <nc r="L56">
      <v>669222.68999999994</v>
    </nc>
  </rcc>
  <rcc rId="406" sId="4" numFmtId="4">
    <oc r="K57">
      <v>4720310.9000000004</v>
    </oc>
    <nc r="K57">
      <v>4720310.8899999997</v>
    </nc>
  </rcc>
  <rcc rId="407" sId="4" numFmtId="4">
    <oc r="K58">
      <v>654342.14</v>
    </oc>
    <nc r="K58">
      <v>654342.15</v>
    </nc>
  </rcc>
  <rcc rId="408" sId="4" numFmtId="4">
    <oc r="K59">
      <v>4065968.7600000002</v>
    </oc>
    <nc r="K59">
      <v>4065968.74</v>
    </nc>
  </rcc>
  <rcc rId="409" sId="4" numFmtId="4">
    <oc r="K60">
      <v>4198693.7</v>
    </oc>
    <nc r="K60">
      <v>4198693.6900000004</v>
    </nc>
  </rcc>
  <rcc rId="410" sId="4" numFmtId="4">
    <oc r="L60">
      <v>9948076.8599999994</v>
    </oc>
    <nc r="L60">
      <v>9948076.8500000015</v>
    </nc>
  </rcc>
  <rcc rId="411" sId="4" numFmtId="4">
    <oc r="K62">
      <v>3616659.53</v>
    </oc>
    <nc r="K62">
      <v>3616659.52</v>
    </nc>
  </rcc>
  <rcc rId="412" sId="4" numFmtId="4">
    <oc r="L62">
      <v>8321848.4400000004</v>
    </oc>
    <nc r="L62">
      <v>8321848.4300000006</v>
    </nc>
  </rcc>
  <rcc rId="413" sId="4" numFmtId="4">
    <oc r="K63">
      <v>4198693.7</v>
    </oc>
    <nc r="K63">
      <v>4198693.6900000004</v>
    </nc>
  </rcc>
  <rcc rId="414" sId="4" numFmtId="4">
    <oc r="L63">
      <v>9948076.8599999994</v>
    </oc>
    <nc r="L63">
      <v>9948076.8500000015</v>
    </nc>
  </rcc>
  <rcc rId="415" sId="4" numFmtId="4">
    <oc r="L64">
      <v>1626228.42</v>
    </oc>
    <nc r="L64">
      <v>1626228.4182402091</v>
    </nc>
  </rcc>
  <rcc rId="416" sId="4" numFmtId="4">
    <oc r="K65">
      <v>3616659.53</v>
    </oc>
    <nc r="K65">
      <v>3616659.52</v>
    </nc>
  </rcc>
  <rcc rId="417" sId="4" numFmtId="4">
    <oc r="L65">
      <v>8321848.4400000004</v>
    </oc>
    <nc r="L65">
      <v>8321848.4300000006</v>
    </nc>
  </rcc>
  <rcc rId="418" sId="4" numFmtId="4">
    <oc r="K66">
      <v>4198693.7</v>
    </oc>
    <nc r="K66">
      <v>4198693.6900000004</v>
    </nc>
  </rcc>
  <rcc rId="419" sId="4" numFmtId="4">
    <oc r="L66">
      <v>9948076.8599999994</v>
    </oc>
    <nc r="L66">
      <v>9948076.8500000015</v>
    </nc>
  </rcc>
  <rcc rId="420" sId="4" numFmtId="4">
    <oc r="L67">
      <v>1626228.42</v>
    </oc>
    <nc r="L67">
      <v>1626228.4182402091</v>
    </nc>
  </rcc>
  <rcc rId="421" sId="4" numFmtId="4">
    <oc r="K68">
      <v>3616659.53</v>
    </oc>
    <nc r="K68">
      <v>3616659.52</v>
    </nc>
  </rcc>
  <rcc rId="422" sId="4" numFmtId="4">
    <oc r="L68">
      <v>8321848.4400000004</v>
    </oc>
    <nc r="L68">
      <v>8321848.4300000006</v>
    </nc>
  </rcc>
  <rcc rId="423" sId="4">
    <oc r="K70">
      <f>+K3+K6+K9+K12+K15+K18+K21+K24+K27+K30+K33+K36+K39+K42+K45+K48+K51+K57+K60+K63+K66</f>
    </oc>
    <nc r="K70">
      <f>+K3+K6+K9+K12+K15+K18+K21+K24+K27+K30+K33+K36+K39+K42+K45+K48+K51+K54+K57+K60+K63+K66</f>
    </nc>
  </rcc>
  <rcc rId="424" sId="4">
    <oc r="L70">
      <f>+L3+L6+L9+L12+L15+L18+L21+L24+L27+L30+L33+L36+L39+L42+L45+L48+L51+L57+L60+L63+L66</f>
    </oc>
    <nc r="L70">
      <f>+L3+L6+L9+L12+L15+L18+L21+L24+L27+L30+L33+L36+L39+L42+L45+L48+L51+L54+L57+L60+L63+L66</f>
    </nc>
  </rcc>
  <rcc rId="425" sId="4">
    <oc r="K71">
      <f>+K4+K7+K10+K13+K16+K19+K22+K25+K28+K31+K34+K37+K40+K43+K46+K49+K52+K58+K61+K64+K67</f>
    </oc>
    <nc r="K71">
      <f>+K4+K7+K10+K13+K16+K19+K22+K25+K28+K31+K34+K37+K40+K43+K46+K49+K52+K55+K58+K61+K64+K67</f>
    </nc>
  </rcc>
  <rcc rId="426" sId="4">
    <oc r="L71">
      <f>+L4+L7+L10+L13+L16+L19+L22+L25+L28+L31+L34+L37+L40+L43+L46+L49+L52+L58+L61+L64+L67</f>
    </oc>
    <nc r="L71">
      <f>+L4+L7+L10+L13+L16+L19+L22+L25+L28+L31+L34+L37+L40+L43+L46+L49+L52+L55+L58+L61+L64+L67</f>
    </nc>
  </rcc>
  <rcc rId="427" sId="4">
    <oc r="K72">
      <f>+K5+K8+K11+K14+K17+K20+K23+K26+K29+K32+K35+K38+K41+K44+K47+K50+K53+K59+K62+K65+K68</f>
    </oc>
    <nc r="K72">
      <f>+K5+K8+K11+K14+K17+K20+K23+K26+K29+K32+K35+K38+K41+K44+K47+K50+K53+K56+K59+K62+K65+K68</f>
    </nc>
  </rcc>
  <rcc rId="428" sId="4">
    <oc r="L72">
      <f>+L5+L8+L11+L14+L17+L20+L23+L26+L29+L32+L35+L38+L41+L44+L47+L50+L53+L59+L62+L65+L68</f>
    </oc>
    <nc r="L72">
      <f>+L5+L8+L11+L14+L17+L20+L23+L26+L29+L32+L35+L38+L41+L44+L47+L50+L53+L56+L59+L62+L65+L68</f>
    </nc>
  </rcc>
  <rcc rId="429" sId="4">
    <oc r="K75">
      <f>+K51+K57+K60+K63+K66</f>
    </oc>
    <nc r="K75">
      <f>+K51+K57+K60+K63+K66</f>
    </nc>
  </rcc>
  <rcc rId="430" sId="4">
    <oc r="L75">
      <f>+L51+L57+L60+L63+L66</f>
    </oc>
    <nc r="L75">
      <f>+L51+L57+L60+L63+L66</f>
    </nc>
  </rcc>
  <rcc rId="431" sId="4">
    <oc r="K76">
      <f>+K9+K18+K30+K12+K15+K21+K24+K27</f>
    </oc>
    <nc r="K76">
      <f>+K9+K18+K30+K12+K15+K21+K24+K27</f>
    </nc>
  </rcc>
  <rcc rId="432" sId="4">
    <oc r="L76">
      <f>+L9+L18+L30+L12+L15+L21+L24+L27</f>
    </oc>
    <nc r="L76">
      <f>+L9+L18+L30+L12+L15+L21+L24+L27</f>
    </nc>
  </rcc>
  <rcc rId="433" sId="4">
    <oc r="K77">
      <f>+K3+K6+K48</f>
    </oc>
    <nc r="K77">
      <f>+K3+K6+K48+K54</f>
    </nc>
  </rcc>
  <rcc rId="434" sId="4">
    <oc r="K78">
      <f>+K33+K36+K39+K42+K45</f>
    </oc>
    <nc r="K78">
      <f>+K33+K36+K39+K42+K45</f>
    </nc>
  </rcc>
  <rcc rId="435" sId="4">
    <oc r="L78">
      <f>+L33+L36+L39+L42+L45</f>
    </oc>
    <nc r="L78">
      <f>+L33+L36+L39+L42+L45</f>
    </nc>
  </rcc>
  <rcc rId="436" sId="4">
    <oc r="K87">
      <f>+K4+K7+K49</f>
    </oc>
    <nc r="K87">
      <f>+K4+K7+K49+K55</f>
    </nc>
  </rcc>
  <rfmt sheetId="4" sqref="L87" start="0" length="0">
    <dxf>
      <border outline="0">
        <right style="thin">
          <color indexed="64"/>
        </right>
      </border>
    </dxf>
  </rfmt>
  <rfmt sheetId="4" sqref="L88" start="0" length="0">
    <dxf>
      <border outline="0">
        <right style="thin">
          <color indexed="64"/>
        </right>
      </border>
    </dxf>
  </rfmt>
  <rcc rId="437" sId="4">
    <oc r="L87">
      <f>+L4+L7+L49</f>
    </oc>
    <nc r="L87">
      <f>+L4+L7+L49+L55</f>
    </nc>
  </rcc>
  <rcc rId="438" sId="4">
    <oc r="K88">
      <f>+K5+K8+K50</f>
    </oc>
    <nc r="K88">
      <f>+K5+K8+K50+K56</f>
    </nc>
  </rcc>
  <rcc rId="439" sId="4">
    <oc r="L88">
      <f>+L5+L8+L50</f>
    </oc>
    <nc r="L88">
      <f>+L5+L8+L50+L56</f>
    </nc>
  </rcc>
  <rcc rId="440" sId="4">
    <oc r="L77">
      <f>+L3+L6+L48</f>
    </oc>
    <nc r="L77">
      <f>+L3+L6+L48+L54</f>
    </nc>
  </rcc>
  <rfmt sheetId="4" sqref="K94:K101">
    <dxf>
      <numFmt numFmtId="169" formatCode="#,##0.0"/>
    </dxf>
  </rfmt>
  <rfmt sheetId="4" sqref="K94:K101">
    <dxf>
      <numFmt numFmtId="3" formatCode="#,##0"/>
    </dxf>
  </rfmt>
  <rcc rId="441" sId="4" numFmtId="4">
    <oc r="K94">
      <v>2880194</v>
    </oc>
    <nc r="K94">
      <v>2864592</v>
    </nc>
  </rcc>
  <rcc rId="442" sId="4" numFmtId="4">
    <oc r="K95">
      <v>17897025</v>
    </oc>
    <nc r="K95">
      <v>17800078</v>
    </nc>
  </rcc>
  <rcc rId="443" sId="4" numFmtId="4">
    <oc r="K96">
      <v>6701639</v>
    </oc>
    <nc r="K96">
      <v>6701640</v>
    </nc>
  </rcc>
  <rcc rId="444" sId="4" numFmtId="4">
    <oc r="K98">
      <v>1521188</v>
    </oc>
    <nc r="K98">
      <v>1552391</v>
    </nc>
  </rcc>
  <rcc rId="445" sId="4" numFmtId="4">
    <oc r="K99">
      <v>9452396</v>
    </oc>
    <nc r="K99">
      <v>9646291</v>
    </nc>
  </rcc>
  <rcc rId="446" sId="4" numFmtId="4">
    <oc r="K100">
      <v>2797992</v>
    </oc>
    <nc r="K100">
      <v>2782390</v>
    </nc>
  </rcc>
  <rcc rId="447" sId="4" numFmtId="4">
    <oc r="K101">
      <v>17386239</v>
    </oc>
    <nc r="K101">
      <v>17289291</v>
    </nc>
  </rcc>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'!$A$1:$F$68</formula>
    <oldFormula>'ПОКАЗАТЕЛИ ПТП '!$A$1:$F$68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7" sId="5" numFmtId="4">
    <oc r="N12">
      <v>20</v>
    </oc>
    <nc r="N12">
      <v>38</v>
    </nc>
  </rc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'!$A$1:$F$68</formula>
    <oldFormula>'ПОКАЗАТЕЛИ ПТП '!$A$1:$F$68</oldFormula>
  </rdn>
  <rdn rId="0" localSheetId="4" customView="1" name="Z_B426F9F8_EB1A_4D7B_9478_7E22D414CC12_.wvu.FilterData" hidden="1" oldHidden="1">
    <formula>'ПОКАЗАТЕЛИ ПТП '!$A$1:$M$70</formula>
    <oldFormula>'ПОКАЗАТЕЛИ ПТП '!$A$1:$M$70</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7" sId="5" odxf="1" dxf="1" numFmtId="4">
    <oc r="C12">
      <v>59</v>
    </oc>
    <nc r="C12">
      <v>53.1</v>
    </nc>
    <odxf>
      <font>
        <name val="Times New Roman"/>
        <scheme val="none"/>
      </font>
      <numFmt numFmtId="3" formatCode="#,##0"/>
    </odxf>
    <ndxf>
      <font>
        <color rgb="FFFF0000"/>
        <name val="Times New Roman"/>
        <scheme val="none"/>
      </font>
      <numFmt numFmtId="4" formatCode="#,##0.00"/>
    </ndxf>
  </rcc>
  <rcc rId="468" sId="5" odxf="1" dxf="1" numFmtId="4">
    <oc r="D12">
      <v>64</v>
    </oc>
    <nc r="D12">
      <v>55.04</v>
    </nc>
    <odxf>
      <font>
        <name val="Times New Roman"/>
        <scheme val="none"/>
      </font>
      <numFmt numFmtId="3" formatCode="#,##0"/>
    </odxf>
    <ndxf>
      <font>
        <color rgb="FFFF0000"/>
        <name val="Times New Roman"/>
        <scheme val="none"/>
      </font>
      <numFmt numFmtId="4" formatCode="#,##0.00"/>
    </ndxf>
  </rcc>
  <rcc rId="469" sId="5" odxf="1" dxf="1" numFmtId="4">
    <oc r="E12">
      <v>57</v>
    </oc>
    <nc r="E12">
      <v>30</v>
    </nc>
    <odxf>
      <font>
        <name val="Times New Roman"/>
        <scheme val="none"/>
      </font>
      <numFmt numFmtId="3" formatCode="#,##0"/>
    </odxf>
    <ndxf>
      <font>
        <color rgb="FFFF0000"/>
        <name val="Times New Roman"/>
        <scheme val="none"/>
      </font>
      <numFmt numFmtId="4" formatCode="#,##0.00"/>
    </ndxf>
  </rcc>
  <rcc rId="470" sId="5" odxf="1" dxf="1" numFmtId="4">
    <oc r="F12">
      <v>28</v>
    </oc>
    <nc r="F12">
      <v>15</v>
    </nc>
    <odxf>
      <font>
        <name val="Times New Roman"/>
        <scheme val="none"/>
      </font>
      <numFmt numFmtId="3" formatCode="#,##0"/>
    </odxf>
    <ndxf>
      <font>
        <color rgb="FFFF0000"/>
        <name val="Times New Roman"/>
        <scheme val="none"/>
      </font>
      <numFmt numFmtId="4" formatCode="#,##0.00"/>
    </ndxf>
  </rcc>
  <rcc rId="471" sId="5" odxf="1" dxf="1" numFmtId="4">
    <oc r="G12">
      <v>59</v>
    </oc>
    <nc r="G12">
      <v>29.67</v>
    </nc>
    <odxf>
      <font>
        <name val="Times New Roman"/>
        <scheme val="none"/>
      </font>
      <numFmt numFmtId="3" formatCode="#,##0"/>
    </odxf>
    <ndxf>
      <font>
        <color rgb="FFFF0000"/>
        <name val="Times New Roman"/>
        <scheme val="none"/>
      </font>
      <numFmt numFmtId="4" formatCode="#,##0.00"/>
    </ndxf>
  </rcc>
  <rfmt sheetId="5" sqref="H12" start="0" length="0">
    <dxf>
      <font>
        <color rgb="FFFF0000"/>
        <name val="Times New Roman"/>
        <scheme val="none"/>
      </font>
      <numFmt numFmtId="4" formatCode="#,##0.00"/>
    </dxf>
  </rfmt>
  <rcc rId="472" sId="5" odxf="1" dxf="1" numFmtId="4">
    <oc r="I12">
      <v>5</v>
    </oc>
    <nc r="I12">
      <v>0</v>
    </nc>
    <odxf>
      <font>
        <name val="Times New Roman"/>
        <scheme val="none"/>
      </font>
      <numFmt numFmtId="3" formatCode="#,##0"/>
    </odxf>
    <ndxf>
      <font>
        <color rgb="FFFF0000"/>
        <name val="Times New Roman"/>
        <scheme val="none"/>
      </font>
      <numFmt numFmtId="4" formatCode="#,##0.00"/>
    </ndxf>
  </rcc>
  <rfmt sheetId="5" sqref="J12" start="0" length="0">
    <dxf>
      <font>
        <color rgb="FFFF0000"/>
        <name val="Times New Roman"/>
        <scheme val="none"/>
      </font>
      <numFmt numFmtId="4" formatCode="#,##0.00"/>
    </dxf>
  </rfmt>
  <rfmt sheetId="5" sqref="K12" start="0" length="0">
    <dxf>
      <font>
        <color rgb="FFFF0000"/>
        <name val="Times New Roman"/>
        <scheme val="none"/>
      </font>
      <numFmt numFmtId="4" formatCode="#,##0.00"/>
    </dxf>
  </rfmt>
  <rfmt sheetId="5" sqref="L12" start="0" length="0">
    <dxf>
      <font>
        <color rgb="FFFF0000"/>
        <name val="Times New Roman"/>
        <scheme val="none"/>
      </font>
      <numFmt numFmtId="4" formatCode="#,##0.00"/>
    </dxf>
  </rfmt>
  <rfmt sheetId="5" sqref="M12" start="0" length="0">
    <dxf>
      <font>
        <color rgb="FFFF0000"/>
        <name val="Times New Roman"/>
        <scheme val="none"/>
      </font>
      <numFmt numFmtId="4" formatCode="#,##0.00"/>
    </dxf>
  </rfmt>
  <rfmt sheetId="5" sqref="N12" start="0" length="0">
    <dxf>
      <font>
        <color rgb="FFFF0000"/>
        <name val="Times New Roman"/>
        <scheme val="none"/>
      </font>
      <numFmt numFmtId="4" formatCode="#,##0.00"/>
    </dxf>
  </rfmt>
  <rfmt sheetId="5" sqref="O12" start="0" length="0">
    <dxf>
      <font>
        <color rgb="FFFF0000"/>
        <name val="Times New Roman"/>
        <scheme val="none"/>
      </font>
      <numFmt numFmtId="4" formatCode="#,##0.00"/>
    </dxf>
  </rfmt>
  <rcc rId="473" sId="5" odxf="1" dxf="1" numFmtId="4">
    <oc r="Q12">
      <v>59</v>
    </oc>
    <nc r="Q12">
      <v>53.1</v>
    </nc>
    <odxf>
      <font>
        <name val="Times New Roman"/>
        <scheme val="none"/>
      </font>
      <numFmt numFmtId="3" formatCode="#,##0"/>
      <alignment wrapText="1" readingOrder="0"/>
    </odxf>
    <ndxf>
      <font>
        <color rgb="FFFF0000"/>
        <name val="Times New Roman"/>
        <scheme val="none"/>
      </font>
      <numFmt numFmtId="4" formatCode="#,##0.00"/>
      <alignment wrapText="0" readingOrder="0"/>
    </ndxf>
  </rcc>
  <rcc rId="474" sId="5" odxf="1" dxf="1" numFmtId="4">
    <oc r="R12">
      <v>64</v>
    </oc>
    <nc r="R12">
      <v>55.04</v>
    </nc>
    <odxf>
      <font>
        <sz val="9"/>
        <name val="Times New Roman"/>
        <scheme val="none"/>
      </font>
      <numFmt numFmtId="3" formatCode="#,##0"/>
      <alignment wrapText="1" readingOrder="0"/>
    </odxf>
    <ndxf>
      <font>
        <sz val="9"/>
        <color rgb="FFFF0000"/>
        <name val="Times New Roman"/>
        <scheme val="none"/>
      </font>
      <numFmt numFmtId="4" formatCode="#,##0.00"/>
      <alignment wrapText="0" readingOrder="0"/>
    </ndxf>
  </rcc>
  <rcc rId="475" sId="5" odxf="1" dxf="1" numFmtId="4">
    <oc r="S12">
      <v>57</v>
    </oc>
    <nc r="S12">
      <v>30</v>
    </nc>
    <odxf>
      <font>
        <name val="Times New Roman"/>
        <scheme val="none"/>
      </font>
      <numFmt numFmtId="3" formatCode="#,##0"/>
    </odxf>
    <ndxf>
      <font>
        <color rgb="FFFF0000"/>
        <name val="Times New Roman"/>
        <scheme val="none"/>
      </font>
      <numFmt numFmtId="4" formatCode="#,##0.00"/>
    </ndxf>
  </rcc>
  <rcc rId="476" sId="5" odxf="1" dxf="1" numFmtId="4">
    <oc r="T12">
      <v>28</v>
    </oc>
    <nc r="T12">
      <v>15</v>
    </nc>
    <odxf>
      <font>
        <name val="Times New Roman"/>
        <scheme val="none"/>
      </font>
      <numFmt numFmtId="3" formatCode="#,##0"/>
    </odxf>
    <ndxf>
      <font>
        <color rgb="FFFF0000"/>
        <name val="Times New Roman"/>
        <scheme val="none"/>
      </font>
      <numFmt numFmtId="4" formatCode="#,##0.00"/>
    </ndxf>
  </rcc>
  <rcc rId="477" sId="5" odxf="1" dxf="1" numFmtId="4">
    <oc r="U12">
      <v>59</v>
    </oc>
    <nc r="U12">
      <v>29.67</v>
    </nc>
    <odxf>
      <font>
        <name val="Times New Roman"/>
        <scheme val="none"/>
      </font>
      <numFmt numFmtId="3" formatCode="#,##0"/>
    </odxf>
    <ndxf>
      <font>
        <color rgb="FFFF0000"/>
        <name val="Times New Roman"/>
        <scheme val="none"/>
      </font>
      <numFmt numFmtId="4" formatCode="#,##0.00"/>
    </ndxf>
  </rcc>
  <rfmt sheetId="5" sqref="V12" start="0" length="0">
    <dxf>
      <font>
        <color rgb="FFFF0000"/>
        <name val="Times New Roman"/>
        <scheme val="none"/>
      </font>
      <numFmt numFmtId="4" formatCode="#,##0.00"/>
    </dxf>
  </rfmt>
  <rcc rId="478" sId="5" odxf="1" dxf="1" numFmtId="4">
    <oc r="W12">
      <v>5</v>
    </oc>
    <nc r="W12">
      <v>0</v>
    </nc>
    <odxf>
      <font>
        <name val="Times New Roman"/>
        <scheme val="none"/>
      </font>
      <numFmt numFmtId="3" formatCode="#,##0"/>
    </odxf>
    <ndxf>
      <font>
        <color rgb="FFFF0000"/>
        <name val="Times New Roman"/>
        <scheme val="none"/>
      </font>
      <numFmt numFmtId="4" formatCode="#,##0.00"/>
    </ndxf>
  </rcc>
  <rfmt sheetId="5" sqref="X12" start="0" length="0">
    <dxf>
      <font>
        <color rgb="FFFF0000"/>
        <name val="Times New Roman"/>
        <scheme val="none"/>
      </font>
      <numFmt numFmtId="4" formatCode="#,##0.00"/>
    </dxf>
  </rfmt>
  <rfmt sheetId="5" sqref="Y12" start="0" length="0">
    <dxf>
      <font>
        <color rgb="FFFF0000"/>
        <name val="Times New Roman"/>
        <scheme val="none"/>
      </font>
      <numFmt numFmtId="4" formatCode="#,##0.00"/>
    </dxf>
  </rfmt>
  <rfmt sheetId="5" sqref="Z12" start="0" length="0">
    <dxf>
      <font>
        <color rgb="FFFF0000"/>
        <name val="Times New Roman"/>
        <scheme val="none"/>
      </font>
      <numFmt numFmtId="4" formatCode="#,##0.00"/>
    </dxf>
  </rfmt>
  <rfmt sheetId="5" sqref="AA12" start="0" length="0">
    <dxf>
      <font>
        <color rgb="FFFF0000"/>
        <name val="Times New Roman"/>
        <scheme val="none"/>
      </font>
      <numFmt numFmtId="4" formatCode="#,##0.00"/>
    </dxf>
  </rfmt>
  <rcc rId="479" sId="5" odxf="1" dxf="1" numFmtId="4">
    <oc r="AB12">
      <v>20</v>
    </oc>
    <nc r="AB12">
      <v>38</v>
    </nc>
    <odxf>
      <font>
        <name val="Times New Roman"/>
        <scheme val="none"/>
      </font>
      <numFmt numFmtId="3" formatCode="#,##0"/>
    </odxf>
    <ndxf>
      <font>
        <color rgb="FFFF0000"/>
        <name val="Times New Roman"/>
        <scheme val="none"/>
      </font>
      <numFmt numFmtId="4" formatCode="#,##0.00"/>
    </ndxf>
  </rcc>
  <rfmt sheetId="5" sqref="AC12" start="0" length="0">
    <dxf>
      <font>
        <color rgb="FFFF0000"/>
        <name val="Times New Roman"/>
        <scheme val="none"/>
      </font>
      <numFmt numFmtId="4" formatCode="#,##0.00"/>
    </dxf>
  </rfmt>
  <rfmt sheetId="5" sqref="C12:O12" start="0" length="2147483647">
    <dxf>
      <font>
        <color auto="1"/>
      </font>
    </dxf>
  </rfmt>
  <rfmt sheetId="5" sqref="P12">
    <dxf>
      <numFmt numFmtId="169" formatCode="#,##0.0"/>
    </dxf>
  </rfmt>
  <rfmt sheetId="5" sqref="P12">
    <dxf>
      <numFmt numFmtId="4" formatCode="#,##0.00"/>
    </dxf>
  </rfmt>
  <rfmt sheetId="5" sqref="AD12">
    <dxf>
      <numFmt numFmtId="169" formatCode="#,##0.0"/>
    </dxf>
  </rfmt>
  <rfmt sheetId="5" sqref="AD12">
    <dxf>
      <numFmt numFmtId="4" formatCode="#,##0.00"/>
    </dxf>
  </rfmt>
  <rfmt sheetId="5" sqref="Q12:AC12" start="0" length="2147483647">
    <dxf>
      <font>
        <color auto="1"/>
      </font>
    </dxf>
  </rfmt>
  <rfmt sheetId="4" sqref="C30:D30">
    <dxf>
      <numFmt numFmtId="169" formatCode="#,##0.0"/>
    </dxf>
  </rfmt>
  <rfmt sheetId="4" sqref="C30:D30">
    <dxf>
      <numFmt numFmtId="4" formatCode="#,##0.00"/>
    </dxf>
  </rfmt>
  <rcc rId="480" sId="5">
    <oc r="B12" t="inlineStr">
      <is>
        <t>Служители на Системата, чиито възнаграждения се възстановяват</t>
      </is>
    </oc>
    <nc r="B12" t="inlineStr">
      <is>
        <t>Служители на Системата, чиито възнаграждения се възстановяват (среднопретеглена стойност)</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90" sId="4" ref="S1:S1048576" action="deleteCol">
    <rfmt sheetId="4" xfDxf="1" s="1" sqref="S1:S1048576"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dxf>
    </rfmt>
    <rcc rId="0" sId="4" s="1" dxf="1">
      <nc r="S1" t="inlineStr">
        <is>
          <t>% от общата стойност на възнагражденията на служителите на НСУИ на НРПД</t>
        </is>
      </nc>
      <ndxf>
        <font>
          <sz val="8"/>
          <color theme="1"/>
          <name val="Times New Roman"/>
          <scheme val="none"/>
        </font>
        <numFmt numFmtId="3" formatCode="#,##0"/>
        <fill>
          <patternFill>
            <bgColor theme="0" tint="-0.14999847407452621"/>
          </patternFill>
        </fill>
        <alignment horizontal="center" readingOrder="0"/>
        <border outline="0">
          <left style="thin">
            <color theme="0" tint="-0.499984740745262"/>
          </left>
          <top style="medium">
            <color theme="0" tint="-0.499984740745262"/>
          </top>
          <bottom style="thin">
            <color theme="0" tint="-0.499984740745262"/>
          </bottom>
        </border>
      </ndxf>
    </rcc>
    <rcc rId="0" sId="4" s="1" dxf="1">
      <nc r="S2">
        <v>18</v>
      </nc>
      <ndxf>
        <font>
          <b val="0"/>
          <i/>
          <sz val="9"/>
          <color theme="1"/>
          <name val="Times New Roman"/>
          <scheme val="none"/>
        </font>
        <numFmt numFmtId="0" formatCode="General"/>
        <fill>
          <patternFill>
            <bgColor theme="0" tint="-0.14999847407452621"/>
          </patternFill>
        </fill>
        <alignment horizontal="center" vertical="top" readingOrder="0"/>
        <border outline="0">
          <left style="thin">
            <color theme="0" tint="-0.499984740745262"/>
          </left>
          <top style="thin">
            <color theme="0" tint="-0.499984740745262"/>
          </top>
          <bottom style="thin">
            <color theme="0" tint="-0.499984740745262"/>
          </bottom>
        </border>
      </ndxf>
    </rcc>
    <rcc rId="0" sId="4" dxf="1" numFmtId="4">
      <nc r="S3">
        <v>10</v>
      </nc>
      <ndxf>
        <fill>
          <patternFill patternType="none">
            <bgColor indexed="65"/>
          </patternFill>
        </fill>
        <border outline="0">
          <left style="thin">
            <color theme="0" tint="-0.499984740745262"/>
          </left>
          <top style="thin">
            <color theme="0" tint="-0.499984740745262"/>
          </top>
          <bottom style="thin">
            <color theme="0" tint="-0.499984740745262"/>
          </bottom>
        </border>
      </ndxf>
    </rcc>
    <rfmt sheetId="4" sqref="S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9"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0"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2"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3"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19"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0"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2"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3"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29"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cc rId="0" sId="4" dxf="1" numFmtId="4">
      <nc r="S30">
        <v>75</v>
      </nc>
      <ndxf>
        <fill>
          <patternFill patternType="none">
            <bgColor indexed="65"/>
          </patternFill>
        </fill>
        <border outline="0">
          <left style="thin">
            <color theme="0" tint="-0.499984740745262"/>
          </left>
          <top style="thin">
            <color theme="0" tint="-0.499984740745262"/>
          </top>
          <bottom style="thin">
            <color theme="0" tint="-0.499984740745262"/>
          </bottom>
        </border>
      </ndxf>
    </rcc>
    <rfmt sheetId="4" sqref="S3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32"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cc rId="0" sId="4" dxf="1" numFmtId="4">
      <nc r="S33">
        <v>5</v>
      </nc>
      <ndxf>
        <fill>
          <patternFill patternType="none">
            <bgColor indexed="65"/>
          </patternFill>
        </fill>
        <border outline="0">
          <left style="thin">
            <color theme="0" tint="-0.499984740745262"/>
          </left>
          <top style="thin">
            <color theme="0" tint="-0.499984740745262"/>
          </top>
          <bottom style="thin">
            <color theme="0" tint="-0.499984740745262"/>
          </bottom>
        </border>
      </ndxf>
    </rcc>
    <rfmt sheetId="4" sqref="S3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3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cc rId="0" sId="4" dxf="1" numFmtId="4">
      <nc r="S36">
        <v>5</v>
      </nc>
      <ndxf>
        <fill>
          <patternFill patternType="none">
            <bgColor indexed="65"/>
          </patternFill>
        </fill>
        <border outline="0">
          <left style="thin">
            <color theme="0" tint="-0.499984740745262"/>
          </left>
          <top style="thin">
            <color theme="0" tint="-0.499984740745262"/>
          </top>
          <bottom style="thin">
            <color theme="0" tint="-0.499984740745262"/>
          </bottom>
        </border>
      </ndxf>
    </rcc>
    <rfmt sheetId="4" sqref="S3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3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cc rId="0" sId="4" dxf="1" numFmtId="4">
      <nc r="S39">
        <v>5</v>
      </nc>
      <ndxf>
        <fill>
          <patternFill patternType="none">
            <bgColor indexed="65"/>
          </patternFill>
        </fill>
        <border outline="0">
          <left style="thin">
            <color theme="0" tint="-0.499984740745262"/>
          </left>
          <top style="thin">
            <color theme="0" tint="-0.499984740745262"/>
          </top>
          <bottom style="thin">
            <color theme="0" tint="-0.499984740745262"/>
          </bottom>
        </border>
      </ndxf>
    </rcc>
    <rfmt sheetId="4" sqref="S40"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2" start="0" length="0">
      <dxf>
        <font>
          <sz val="9"/>
          <color rgb="FFFF0000"/>
          <name val="Times New Roman"/>
          <scheme val="none"/>
        </font>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3"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5" start="0" length="0">
      <dxf>
        <font>
          <sz val="9"/>
          <color rgb="FFFF0000"/>
          <name val="Times New Roman"/>
          <scheme val="none"/>
        </font>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49"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0"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2"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3"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7" start="0" length="0">
      <dxf>
        <font>
          <sz val="9"/>
          <color auto="1"/>
          <name val="Times New Roman"/>
          <scheme val="none"/>
        </font>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8" start="0" length="0">
      <dxf>
        <font>
          <sz val="9"/>
          <color auto="1"/>
          <name val="Times New Roman"/>
          <scheme val="none"/>
        </font>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59" start="0" length="0">
      <dxf>
        <font>
          <sz val="9"/>
          <color auto="1"/>
          <name val="Times New Roman"/>
          <scheme val="none"/>
        </font>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0"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1"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2"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3"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4"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5"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6"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7"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fmt sheetId="4" sqref="S68" start="0" length="0">
      <dxf>
        <fill>
          <patternFill patternType="none">
            <bgColor indexed="65"/>
          </patternFill>
        </fill>
        <border outline="0">
          <left style="thin">
            <color theme="0" tint="-0.499984740745262"/>
          </left>
          <top style="thin">
            <color theme="0" tint="-0.499984740745262"/>
          </top>
          <bottom style="thin">
            <color theme="0" tint="-0.499984740745262"/>
          </bottom>
        </border>
      </dxf>
    </rfmt>
    <rcc rId="0" sId="4" dxf="1">
      <nc r="S69">
        <f>SUM(S3:S68)</f>
      </nc>
      <ndxf>
        <fill>
          <patternFill patternType="none">
            <bgColor indexed="65"/>
          </patternFill>
        </fill>
        <border outline="0">
          <left style="thin">
            <color theme="0" tint="-0.499984740745262"/>
          </left>
          <right style="thin">
            <color theme="0" tint="-0.499984740745262"/>
          </right>
          <top style="thin">
            <color theme="0" tint="-0.499984740745262"/>
          </top>
        </border>
      </ndxf>
    </rcc>
  </rr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0" sId="4">
    <oc r="F3" t="inlineStr">
      <is>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is>
    </oc>
    <nc r="F3" t="inlineStr">
      <is>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*Methodology of indicators follows the process of improving the system chronologically - starting with identifying problem areas by performing analysis or process evaluation, then taking corrective measures for optimization of procedures with legislation amendments or methodological guidelines, and finally providing the system with tailor-made training for staff. The constant improvement of training’s quality is ensured by regular analysis of the need for training and the analysis of feedback from participants. Based on this logic the indicators O 1-1, O 1-2, O 1-3, and O 2-1 have the same topics.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t>
      </is>
    </nc>
  </rc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'!$A$1:$F$68</formula>
    <oldFormula>'ПОКАЗАТЕЛИ ПТП '!$A$1:$F$68</oldFormula>
  </rdn>
  <rdn rId="0" localSheetId="4" customView="1" name="Z_B426F9F8_EB1A_4D7B_9478_7E22D414CC12_.wvu.FilterData" hidden="1" oldHidden="1">
    <formula>'ПОКАЗАТЕЛИ ПТП '!$A$1:$M$70</formula>
    <oldFormula>'ПОКАЗАТЕЛИ ПТП '!$A$1:$M$70</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0" sId="4">
    <oc r="F3" t="inlineStr">
      <is>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*Methodology of indicators follows the process of improving the system chronologically - starting with identifying problem areas by performing analysis or process evaluation, then taking corrective measures for optimization of procedures with legislation amendments or methodological guidelines, and finally providing the system with tailor-made training for staff. The constant improvement of training’s quality is ensured by regular analysis of the need for training and the analysis of feedback from participants. Based on this logic the indicators O 1-1, O 1-2, O 1-3, and O 2-1 have the same topics.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t>
      </is>
    </oc>
    <n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511" sId="4">
    <oc r="F6" t="inlineStr">
      <is>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is>
    </oc>
    <n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512" sId="4">
    <oc r="F9" t="inlineStr">
      <is>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is>
    </oc>
    <n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3" sId="4">
    <oc r="F33" t="inlineStr">
      <is>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is>
    </oc>
    <n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4" sId="4">
    <oc r="H33" t="inlineStr">
      <is>
        <t>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t>
      </is>
    </oc>
    <nc r="H33" t="inlineStr">
      <is>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 sId="4">
    <oc r="I15" t="inlineStr">
      <is>
        <r>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r>
        <r>
          <rPr>
            <sz val="9"/>
            <color rgb="FFFF0000"/>
            <rFont val="Times New Roman"/>
            <family val="1"/>
            <charset val="204"/>
          </rPr>
          <t xml:space="preserve">Целта е вследствие на оптимизираните процедури за предварителен контрол, този процент да се увеличи. </t>
        </r>
      </is>
    </oc>
    <nc r="I15" t="inlineStr">
      <is>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Повишен процент на отстранени грешки, в следствие на подобрен предварителен контрол </t>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'!$A$1:$F$68</formula>
    <oldFormula>'ПОКАЗАТЕЛИ ПТП '!$A$1:$F$68</oldFormula>
  </rdn>
  <rdn rId="0" localSheetId="4" customView="1" name="Z_B426F9F8_EB1A_4D7B_9478_7E22D414CC12_.wvu.FilterData" hidden="1" oldHidden="1">
    <formula>'ПОКАЗАТЕЛИ ПТП '!$A$1:$M$70</formula>
    <oldFormula>'ПОКАЗАТЕЛИ ПТП '!$A$1:$M$70</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24" sId="4">
    <o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3" t="inlineStr">
      <is>
        <r>
          <t xml:space="preserve">Всеки бенефициент текущо предоставя на УО информация и придружаващи доказателства за броя на новоразработените модули за обучение.
В допълнние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v guid="{B426F9F8-EB1A-4D7B-9478-7E22D414CC12}" action="delete"/>
  <rdn rId="0" localSheetId="1" customView="1" name="Z_B426F9F8_EB1A_4D7B_9478_7E22D414CC12_.wvu.PrintArea" hidden="1" oldHidden="1">
    <formula>'Финансови бюджетни '!$A$4:$L$16</formula>
    <oldFormula>'Финансови бюджетни '!$A$4:$L$16</oldFormula>
  </rdn>
  <rdn rId="0" localSheetId="2" customView="1" name="Z_B426F9F8_EB1A_4D7B_9478_7E22D414CC12_.wvu.PrintArea" hidden="1" oldHidden="1">
    <formula>'Финансов план на ПТП'!$A$2:$M$18</formula>
    <oldFormula>'Финансов план на ПТП'!$A$2:$M$18</oldFormula>
  </rdn>
  <rdn rId="0" localSheetId="3" customView="1" name="Z_B426F9F8_EB1A_4D7B_9478_7E22D414CC12_.wvu.PrintArea" hidden="1" oldHidden="1">
    <formula>'ОПНО_визия евро'!$A$1:$O$30</formula>
    <oldFormula>'ОПНО_визия евро'!$A$1:$O$30</oldFormula>
  </rdn>
  <rdn rId="0" localSheetId="4" customView="1" name="Z_B426F9F8_EB1A_4D7B_9478_7E22D414CC12_.wvu.PrintArea" hidden="1" oldHidden="1">
    <formula>'ПОКАЗАТЕЛИ ПТП '!$A$1:$F$68</formula>
    <oldFormula>'ПОКАЗАТЕЛИ ПТП '!$A$1:$F$68</oldFormula>
  </rdn>
  <rdn rId="0" localSheetId="4" customView="1" name="Z_B426F9F8_EB1A_4D7B_9478_7E22D414CC12_.wvu.FilterData" hidden="1" oldHidden="1">
    <formula>'ПОКАЗАТЕЛИ ПТП '!$A$1:$M$70</formula>
    <oldFormula>'ПОКАЗАТЕЛИ ПТП '!$A$1:$M$70</oldFormula>
  </rdn>
  <rdn rId="0" localSheetId="7" customView="1" name="Z_B426F9F8_EB1A_4D7B_9478_7E22D414CC12_.wvu.PrintArea" hidden="1" oldHidden="1">
    <formula>П3_Наука_Инфраструктура!$A$1:$L$16</formula>
    <oldFormula>П3_Наука_Инфраструктура!$A$1:$L$16</oldFormula>
  </rdn>
  <rdn rId="0" localSheetId="8" customView="1" name="Z_B426F9F8_EB1A_4D7B_9478_7E22D414CC12_.wvu.PrintArea" hidden="1" oldHidden="1">
    <formula>'П3_Наука Изследвания'!$A$1:$M$14</formula>
    <oldFormula>'П3_Наука Изследвания'!$A$1:$M$14</oldFormula>
  </rdn>
  <rdn rId="0" localSheetId="9" customView="1" name="Z_B426F9F8_EB1A_4D7B_9478_7E22D414CC12_.wvu.PrintArea" hidden="1" oldHidden="1">
    <formula>П3_Наука_Хоризонт!$A$1:$M$18</formula>
    <oldFormula>П3_Наука_Хоризонт!$A$1:$M$18</oldFormula>
  </rdn>
  <rdn rId="0" localSheetId="9" customView="1" name="Z_B426F9F8_EB1A_4D7B_9478_7E22D414CC12_.wvu.Cols" hidden="1" oldHidden="1">
    <formula>П3_Наука_Хоризонт!$N:$O</formula>
    <oldFormula>П3_Наука_Хоризонт!$N:$O</oldFormula>
  </rdn>
  <rcv guid="{B426F9F8-EB1A-4D7B-9478-7E22D414CC12}" action="add"/>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4" sId="4">
    <o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3" t="inlineStr">
      <is>
        <r>
          <t xml:space="preserve">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cc rId="535" sId="4">
    <o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6" t="inlineStr">
      <is>
        <r>
          <t xml:space="preserve">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6" sId="4">
    <o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метофологически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oc>
    <nc r="F9" t="inlineStr">
      <is>
        <r>
          <t xml:space="preserve">Всеки бенефициент текущо предоставя на УО информация за броя на разработените/ актуализирани метдически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t>
        </r>
        <r>
          <rPr>
            <sz val="9"/>
            <color rgb="FFFF0000"/>
            <rFont val="Times New Roman"/>
            <family val="1"/>
            <charset val="204"/>
          </rPr>
          <t xml:space="preserve">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некрекъснати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r>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37" sId="4">
    <oc r="H33" t="inlineStr">
      <is>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is>
    </oc>
    <nc r="H33" t="inlineStr">
      <is>
        <r>
          <t xml:space="preserve">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 и др. на база извършени анализи и получени предложения и препоръки.
</t>
        </r>
        <r>
          <rPr>
            <sz val="9"/>
            <color rgb="FFFF0000"/>
            <rFont val="Times New Roman"/>
            <family val="1"/>
            <charset val="204"/>
          </rPr>
          <t>7. провеждане на проучване сред участниците 6 месеца след обучението дали използват придобитите знания и ако не, защо;</t>
        </r>
      </is>
    </nc>
  </rcc>
  <rdn rId="0" localSheetId="1" customView="1" name="Z_DD0EA6D3_BC8C_40D3_B12F_B88059C8E3DC_.wvu.PrintArea" hidden="1" oldHidden="1">
    <formula>'Финансови бюджетни '!$A$4:$L$16</formula>
  </rdn>
  <rdn rId="0" localSheetId="2" customView="1" name="Z_DD0EA6D3_BC8C_40D3_B12F_B88059C8E3DC_.wvu.PrintArea" hidden="1" oldHidden="1">
    <formula>'Финансов план на ПТП'!$A$2:$M$18</formula>
  </rdn>
  <rdn rId="0" localSheetId="3" customView="1" name="Z_DD0EA6D3_BC8C_40D3_B12F_B88059C8E3DC_.wvu.PrintArea" hidden="1" oldHidden="1">
    <formula>'ОПНО_визия евро'!$A$1:$O$30</formula>
  </rdn>
  <rdn rId="0" localSheetId="4" customView="1" name="Z_DD0EA6D3_BC8C_40D3_B12F_B88059C8E3DC_.wvu.PrintArea" hidden="1" oldHidden="1">
    <formula>'ПОКАЗАТЕЛИ ПТП '!$A$1:$F$68</formula>
  </rdn>
  <rdn rId="0" localSheetId="4" customView="1" name="Z_DD0EA6D3_BC8C_40D3_B12F_B88059C8E3DC_.wvu.FilterData" hidden="1" oldHidden="1">
    <formula>'ПОКАЗАТЕЛИ ПТП '!$A$1:$M$70</formula>
  </rdn>
  <rdn rId="0" localSheetId="7" customView="1" name="Z_DD0EA6D3_BC8C_40D3_B12F_B88059C8E3DC_.wvu.PrintArea" hidden="1" oldHidden="1">
    <formula>П3_Наука_Инфраструктура!$A$1:$L$16</formula>
  </rdn>
  <rdn rId="0" localSheetId="8" customView="1" name="Z_DD0EA6D3_BC8C_40D3_B12F_B88059C8E3DC_.wvu.PrintArea" hidden="1" oldHidden="1">
    <formula>'П3_Наука Изследвания'!$A$1:$M$14</formula>
  </rdn>
  <rdn rId="0" localSheetId="9" customView="1" name="Z_DD0EA6D3_BC8C_40D3_B12F_B88059C8E3DC_.wvu.PrintArea" hidden="1" oldHidden="1">
    <formula>П3_Наука_Хоризонт!$A$1:$M$18</formula>
  </rdn>
  <rdn rId="0" localSheetId="9" customView="1" name="Z_DD0EA6D3_BC8C_40D3_B12F_B88059C8E3DC_.wvu.Cols" hidden="1" oldHidden="1">
    <formula>П3_Наука_Хоризонт!$N:$O</formula>
  </rdn>
  <rcv guid="{DD0EA6D3-BC8C-40D3-B12F-B88059C8E3DC}" action="add"/>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7" sId="4">
    <o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3.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4.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5.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6. Подготовка на стратегии и пътни карти за Системата. </t>
        </r>
        <r>
          <rPr>
            <sz val="9"/>
            <color rgb="FFFF0000"/>
            <rFont val="Times New Roman"/>
            <family val="1"/>
            <charset val="204"/>
          </rPr>
          <t xml:space="preserve"> (ЦКЗ)</t>
        </r>
      </is>
    </oc>
    <n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3.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4.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5.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6. Подготовка на стратегии и пътни карти за Системата. </t>
        </r>
        <r>
          <rPr>
            <sz val="9"/>
            <color rgb="FFFF0000"/>
            <rFont val="Times New Roman"/>
            <family val="1"/>
            <charset val="204"/>
          </rPr>
          <t xml:space="preserve"> (ЦКЗ)</t>
        </r>
      </is>
    </nc>
  </rcc>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8" sId="4">
    <o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3.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4.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5.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6. Подготовка на стратегии и пътни карти за Системата. </t>
        </r>
        <r>
          <rPr>
            <sz val="9"/>
            <color rgb="FFFF0000"/>
            <rFont val="Times New Roman"/>
            <family val="1"/>
            <charset val="204"/>
          </rPr>
          <t xml:space="preserve"> (ЦКЗ)</t>
        </r>
      </is>
    </oc>
    <nc r="H3" t="inlineStr">
      <is>
        <r>
          <t>1. Набиране,‭ ‬обобщаване и/или анализ на информация от работата на Системата (</t>
        </r>
        <r>
          <rPr>
            <sz val="9"/>
            <color rgb="FFFF0000"/>
            <rFont val="Times New Roman"/>
            <family val="1"/>
            <charset val="204"/>
          </rPr>
          <t>ЦКЗ</t>
        </r>
        <r>
          <rPr>
            <sz val="9"/>
            <rFont val="Times New Roman"/>
            <family val="1"/>
            <charset val="204"/>
          </rPr>
          <t xml:space="preserve">):
</t>
        </r>
        <r>
          <rPr>
            <sz val="9"/>
            <color rgb="FFFF0000"/>
            <rFont val="Times New Roman"/>
            <family val="1"/>
            <charset val="204"/>
          </rPr>
          <t xml:space="preserve">-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комуниционни мерки за повишаване на доверието в системата. </t>
        </r>
        <r>
          <rPr>
            <sz val="9"/>
            <rFont val="Times New Roman"/>
            <family val="1"/>
            <charset val="204"/>
          </rPr>
          <t xml:space="preserve">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t>
        </r>
        <r>
          <rPr>
            <sz val="9"/>
            <color rgb="FFFF0000"/>
            <rFont val="Times New Roman"/>
            <family val="1"/>
            <charset val="204"/>
          </rPr>
          <t xml:space="preserve"> (ЦКЗ)</t>
        </r>
        <r>
          <rPr>
            <sz val="9"/>
            <rFont val="Times New Roman"/>
            <family val="1"/>
            <charset val="204"/>
          </rPr>
          <t xml:space="preserve">;
</t>
        </r>
        <r>
          <rPr>
            <sz val="9"/>
            <color rgb="FFFF0000"/>
            <rFont val="Times New Roman"/>
            <family val="1"/>
            <charset val="204"/>
          </rPr>
          <t>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t>
        </r>
        <r>
          <rPr>
            <sz val="9"/>
            <rFont val="Times New Roman"/>
            <family val="1"/>
            <charset val="204"/>
          </rPr>
          <t xml:space="preserve">
4. Изготвяне на годишен анализ на основните констатации от одити на системата и годишен анализ на грешки с финансово въздействие от одита на операциите. </t>
        </r>
        <r>
          <rPr>
            <sz val="9"/>
            <color rgb="FFFF0000"/>
            <rFont val="Times New Roman"/>
            <family val="1"/>
            <charset val="204"/>
          </rPr>
          <t>(ОСЕС)</t>
        </r>
        <r>
          <rPr>
            <sz val="9"/>
            <rFont val="Times New Roman"/>
            <family val="1"/>
            <charset val="204"/>
          </rPr>
          <t xml:space="preserve">
5. Изготвяне на годишен анализ на основните констатации от проверки за открити нередности, включително измами, и последващи действия </t>
        </r>
        <r>
          <rPr>
            <sz val="9"/>
            <color rgb="FFFF0000"/>
            <rFont val="Times New Roman"/>
            <family val="1"/>
            <charset val="204"/>
          </rPr>
          <t>(АФКОС)</t>
        </r>
        <r>
          <rPr>
            <sz val="9"/>
            <rFont val="Times New Roman"/>
            <family val="1"/>
            <charset val="204"/>
          </rPr>
          <t xml:space="preserve">;
6. Изготвяне на годишен анализ на основните грешки, свързани с правилата за държавни помощи </t>
        </r>
        <r>
          <rPr>
            <sz val="9"/>
            <color rgb="FFFF0000"/>
            <rFont val="Times New Roman"/>
            <family val="1"/>
            <charset val="204"/>
          </rPr>
          <t>(ДП)</t>
        </r>
        <r>
          <rPr>
            <sz val="9"/>
            <rFont val="Times New Roman"/>
            <family val="1"/>
            <charset val="204"/>
          </rPr>
          <t xml:space="preserve">;
7. Подготовка на стратегии и пътни карти за Системата. </t>
        </r>
        <r>
          <rPr>
            <sz val="9"/>
            <color rgb="FFFF0000"/>
            <rFont val="Times New Roman"/>
            <family val="1"/>
            <charset val="204"/>
          </rPr>
          <t xml:space="preserve"> (ЦКЗ).</t>
        </r>
      </is>
    </nc>
  </rcc>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49" sId="4">
    <oc r="H9" t="inlineStr">
      <is>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Насърчаване на по-широко използване на опростени разходи;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is>
    </oc>
    <nc r="H9" t="inlineStr">
      <is>
        <r>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t>
        </r>
        <r>
          <rPr>
            <sz val="9"/>
            <color rgb="FFFF0000"/>
            <rFont val="Times New Roman"/>
            <family val="1"/>
            <charset val="204"/>
          </rPr>
          <t xml:space="preserve">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като подход, основан на резултатите. </t>
        </r>
        <r>
          <rPr>
            <sz val="9"/>
            <rFont val="Times New Roman"/>
            <family val="1"/>
            <charset val="204"/>
          </rPr>
          <t xml:space="preserve">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r>
      </is>
    </nc>
  </rcc>
  <rcc rId="550" sId="4">
    <oc r="H21" t="inlineStr">
      <is>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сиситеми и регистри, в това число хоризнталните системи на електронното управление и с НГП и др.
</t>
      </is>
    </oc>
    <nc r="H21" t="inlineStr">
      <is>
        <r>
          <t xml:space="preserve">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сиситеми и регистри, в това число хоризнталните системи на електронното управление и с НГП и др.
</t>
        </r>
        <r>
          <rPr>
            <sz val="9"/>
            <color rgb="FFFF0000"/>
            <rFont val="Times New Roman"/>
            <family val="1"/>
            <charset val="204"/>
          </rPr>
          <t>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r>
        <r>
          <rPr>
            <sz val="9"/>
            <rFont val="Times New Roman"/>
            <family val="1"/>
            <charset val="204"/>
          </rPr>
          <t xml:space="preserve">
</t>
        </r>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1" sId="4">
    <oc r="H6" t="inlineStr">
      <is>
        <r>
          <t xml:space="preserve">1. Набиране,‭ ‬обобщаване и/или анализ на данни на хоризонтално ниво за изпълнение на политиките, финансирани от фондовете на РОР;
2. Споделено събиране и използване на данни за оценка от звената/структурите в Системата;
3. Предоставяне на обобщени данни за целите на оценки на заинтересованите УО-и;
4.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5.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6. Изпълнение и проследяване на препоръки от  оценителните доклади за оптимизиране на административни процеси/процедури в Системата
</t>
        </r>
      </is>
    </oc>
    <nc r="H6" t="inlineStr">
      <is>
        <r>
          <t xml:space="preserve">1.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2. Повишаване на обема на отворените данни за изпълнението на програмите по СП;  
3.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4. Предоставяне на обобщени данни за целите на оценки на заинтересованите УО-и;
5.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6.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7. Изпълнение и проследяване на препоръки от  оценителните доклади за оптимизиране на административни процеси/процедури в Системата
</t>
        </r>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52" sId="4">
    <oc r="H6" t="inlineStr">
      <is>
        <r>
          <t xml:space="preserve">1.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2. Повишаване на обема на отворените данни за изпълнението на програмите по СП;  
3.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4. Предоставяне на обобщени данни за целите на оценки на заинтересованите УО-и;
5.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6. Разработване на информационно и/или обучително съдържание на база изводите и препоръките от извършените оценки.
</t>
        </r>
        <r>
          <rPr>
            <sz val="9"/>
            <color rgb="FFFF0000"/>
            <rFont val="Times New Roman"/>
            <family val="1"/>
            <charset val="204"/>
          </rPr>
          <t xml:space="preserve">7. Изпълнение и проследяване на препоръки от  оценителните доклади за оптимизиране на административни процеси/процедури в Системата
</t>
        </r>
      </is>
    </oc>
    <nc r="H6" t="inlineStr">
      <is>
        <r>
          <rPr>
            <sz val="9"/>
            <color rgb="FFFF0000"/>
            <rFont val="Times New Roman"/>
            <family val="1"/>
            <charset val="204"/>
          </rPr>
          <t>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t>
        </r>
        <r>
          <rPr>
            <sz val="9"/>
            <rFont val="Times New Roman"/>
            <family val="1"/>
            <charset val="204"/>
          </rPr>
          <t xml:space="preserve">
7. Набиране,‭ ‬обобщаване и/или анализ на данни на хоризонтално ниво за изпълнение на политиките, финансирани от фондовете на РОР;
</t>
        </r>
        <r>
          <rPr>
            <sz val="9"/>
            <color rgb="FFFF0000"/>
            <rFont val="Times New Roman"/>
            <family val="1"/>
            <charset val="204"/>
          </rPr>
          <t>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t>
        </r>
        <r>
          <rPr>
            <sz val="9"/>
            <rFont val="Times New Roman"/>
            <family val="1"/>
            <charset val="204"/>
          </rPr>
          <t xml:space="preserve">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t>
        </r>
        <r>
          <rPr>
            <sz val="9"/>
            <color rgb="FFFF0000"/>
            <rFont val="Times New Roman"/>
            <family val="1"/>
            <charset val="204"/>
          </rPr>
          <t xml:space="preserve">. Изпълнение и проследяване на препоръки от  оценителните доклади за оптимизиране на административни процеси/процедури в Системата
</t>
        </r>
      </is>
    </nc>
  </rcc>
  <rcc rId="553" sId="4">
    <oc r="H45" t="inlineStr">
      <is>
        <t>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t>
      </is>
    </oc>
    <nc r="H45" t="inlineStr">
      <is>
        <t xml:space="preserve">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38FE17C0-DF9C-49F8-89F2-82D61A88F0E4}" name="Полина Личева" id="-1086900104" dateTime="2022-07-07T14:02:46"/>
  <userInfo guid="{E35DDCC2-CFD0-466D-AAFA-A80D06799E98}" name="Полина Личева" id="-1086903787" dateTime="2022-07-18T14:22:2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1.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4.bin"/><Relationship Id="rId3" Type="http://schemas.openxmlformats.org/officeDocument/2006/relationships/printerSettings" Target="../printerSettings/printerSettings49.bin"/><Relationship Id="rId7" Type="http://schemas.openxmlformats.org/officeDocument/2006/relationships/printerSettings" Target="../printerSettings/printerSettings53.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printerSettings" Target="../printerSettings/printerSettings52.bin"/><Relationship Id="rId5" Type="http://schemas.openxmlformats.org/officeDocument/2006/relationships/printerSettings" Target="../printerSettings/printerSettings51.bin"/><Relationship Id="rId10" Type="http://schemas.openxmlformats.org/officeDocument/2006/relationships/printerSettings" Target="../printerSettings/printerSettings56.bin"/><Relationship Id="rId4" Type="http://schemas.openxmlformats.org/officeDocument/2006/relationships/printerSettings" Target="../printerSettings/printerSettings50.bin"/><Relationship Id="rId9"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4.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6.bin"/><Relationship Id="rId3" Type="http://schemas.openxmlformats.org/officeDocument/2006/relationships/printerSettings" Target="../printerSettings/printerSettings71.bin"/><Relationship Id="rId7" Type="http://schemas.openxmlformats.org/officeDocument/2006/relationships/printerSettings" Target="../printerSettings/printerSettings75.bin"/><Relationship Id="rId12" Type="http://schemas.openxmlformats.org/officeDocument/2006/relationships/printerSettings" Target="../printerSettings/printerSettings80.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6" Type="http://schemas.openxmlformats.org/officeDocument/2006/relationships/printerSettings" Target="../printerSettings/printerSettings74.bin"/><Relationship Id="rId11" Type="http://schemas.openxmlformats.org/officeDocument/2006/relationships/printerSettings" Target="../printerSettings/printerSettings79.bin"/><Relationship Id="rId5" Type="http://schemas.openxmlformats.org/officeDocument/2006/relationships/printerSettings" Target="../printerSettings/printerSettings73.bin"/><Relationship Id="rId10" Type="http://schemas.openxmlformats.org/officeDocument/2006/relationships/printerSettings" Target="../printerSettings/printerSettings78.bin"/><Relationship Id="rId4" Type="http://schemas.openxmlformats.org/officeDocument/2006/relationships/printerSettings" Target="../printerSettings/printerSettings72.bin"/><Relationship Id="rId9"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0.bin"/><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5" Type="http://schemas.openxmlformats.org/officeDocument/2006/relationships/printerSettings" Target="../printerSettings/printerSettings97.bin"/><Relationship Id="rId10" Type="http://schemas.openxmlformats.org/officeDocument/2006/relationships/printerSettings" Target="../printerSettings/printerSettings102.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tabSelected="1" zoomScale="115" zoomScaleNormal="85" workbookViewId="0">
      <selection activeCell="N10" sqref="N10"/>
    </sheetView>
  </sheetViews>
  <sheetFormatPr defaultColWidth="8.85546875" defaultRowHeight="15" x14ac:dyDescent="0.25"/>
  <cols>
    <col min="1" max="1" width="12" style="127" customWidth="1"/>
    <col min="2" max="2" width="23.7109375" style="127" customWidth="1"/>
    <col min="3" max="3" width="6.42578125" style="127" customWidth="1"/>
    <col min="4" max="8" width="15.5703125" style="127" bestFit="1" customWidth="1"/>
    <col min="9" max="9" width="14.85546875" style="127" customWidth="1"/>
    <col min="10" max="10" width="15.5703125" style="127" bestFit="1" customWidth="1"/>
    <col min="11" max="11" width="15.140625" style="127" customWidth="1"/>
    <col min="12" max="12" width="17" style="127" bestFit="1" customWidth="1"/>
    <col min="13" max="13" width="18.28515625" style="127" bestFit="1" customWidth="1"/>
    <col min="14" max="14" width="14.85546875" style="127" bestFit="1" customWidth="1"/>
    <col min="15" max="15" width="16.42578125" style="127" customWidth="1"/>
    <col min="16" max="16" width="8" style="127" bestFit="1" customWidth="1"/>
    <col min="17" max="17" width="10" style="127" bestFit="1" customWidth="1"/>
    <col min="18" max="18" width="9.28515625" style="127" bestFit="1" customWidth="1"/>
    <col min="19" max="19" width="10" style="127" bestFit="1" customWidth="1"/>
    <col min="20" max="20" width="9.28515625" style="127" bestFit="1" customWidth="1"/>
    <col min="21" max="16384" width="8.85546875" style="127"/>
  </cols>
  <sheetData>
    <row r="1" spans="1:15" ht="18.75" x14ac:dyDescent="0.3">
      <c r="F1" s="376" t="s">
        <v>435</v>
      </c>
    </row>
    <row r="2" spans="1:15" ht="15.75" thickBot="1" x14ac:dyDescent="0.3">
      <c r="A2" s="127" t="s">
        <v>0</v>
      </c>
      <c r="K2" s="195"/>
      <c r="L2" s="196" t="s">
        <v>1</v>
      </c>
      <c r="M2" s="195"/>
    </row>
    <row r="3" spans="1:15" ht="17.25" thickBot="1" x14ac:dyDescent="0.3">
      <c r="A3" s="422" t="s">
        <v>2</v>
      </c>
      <c r="B3" s="423"/>
      <c r="C3" s="423"/>
      <c r="D3" s="423"/>
      <c r="E3" s="423"/>
      <c r="F3" s="423"/>
      <c r="G3" s="423"/>
      <c r="H3" s="423"/>
      <c r="I3" s="423"/>
      <c r="J3" s="423"/>
      <c r="K3" s="423"/>
      <c r="L3" s="424"/>
    </row>
    <row r="4" spans="1:15" ht="16.5" thickBot="1" x14ac:dyDescent="0.3">
      <c r="A4" s="178" t="s">
        <v>3</v>
      </c>
      <c r="B4" s="179" t="s">
        <v>4</v>
      </c>
      <c r="C4" s="180">
        <v>2021</v>
      </c>
      <c r="D4" s="181">
        <v>2022</v>
      </c>
      <c r="E4" s="181">
        <v>2023</v>
      </c>
      <c r="F4" s="182">
        <v>2024</v>
      </c>
      <c r="G4" s="182">
        <v>2025</v>
      </c>
      <c r="H4" s="183">
        <v>2026</v>
      </c>
      <c r="I4" s="182"/>
      <c r="J4" s="184">
        <v>2027</v>
      </c>
      <c r="K4" s="184"/>
      <c r="L4" s="182" t="s">
        <v>5</v>
      </c>
      <c r="M4" s="215"/>
      <c r="O4" s="128"/>
    </row>
    <row r="5" spans="1:15" ht="42.75" thickBot="1" x14ac:dyDescent="0.3">
      <c r="A5" s="185"/>
      <c r="B5" s="173"/>
      <c r="C5" s="174"/>
      <c r="D5" s="175"/>
      <c r="E5" s="175"/>
      <c r="F5" s="176"/>
      <c r="G5" s="176"/>
      <c r="H5" s="214" t="s">
        <v>6</v>
      </c>
      <c r="I5" s="214" t="s">
        <v>7</v>
      </c>
      <c r="J5" s="214" t="s">
        <v>8</v>
      </c>
      <c r="K5" s="214" t="s">
        <v>9</v>
      </c>
      <c r="L5" s="176"/>
      <c r="M5" s="215"/>
      <c r="O5" s="128"/>
    </row>
    <row r="6" spans="1:15" ht="30.75" thickBot="1" x14ac:dyDescent="0.3">
      <c r="A6" s="186" t="s">
        <v>10</v>
      </c>
      <c r="B6" s="177" t="s">
        <v>13</v>
      </c>
      <c r="C6" s="146"/>
      <c r="D6" s="140"/>
      <c r="E6" s="140"/>
      <c r="F6" s="140"/>
      <c r="G6" s="140"/>
      <c r="H6" s="140"/>
      <c r="I6" s="140"/>
      <c r="J6" s="140"/>
      <c r="K6" s="140"/>
      <c r="L6" s="212">
        <f>SUM(C6:J6)</f>
        <v>0</v>
      </c>
      <c r="M6" s="216"/>
      <c r="N6" s="250" t="s">
        <v>322</v>
      </c>
      <c r="O6" s="128"/>
    </row>
    <row r="7" spans="1:15" ht="15.75" thickBot="1" x14ac:dyDescent="0.3">
      <c r="A7" s="187"/>
      <c r="B7" s="177" t="s">
        <v>14</v>
      </c>
      <c r="C7" s="146"/>
      <c r="D7" s="140">
        <v>2268477</v>
      </c>
      <c r="E7" s="140">
        <v>2340588</v>
      </c>
      <c r="F7" s="140">
        <v>2421490</v>
      </c>
      <c r="G7" s="140">
        <v>2501966</v>
      </c>
      <c r="H7" s="140">
        <v>1071729</v>
      </c>
      <c r="I7" s="248">
        <v>1071729</v>
      </c>
      <c r="J7" s="140">
        <v>1112517</v>
      </c>
      <c r="K7" s="248">
        <v>1112517</v>
      </c>
      <c r="L7" s="212">
        <f>SUM(C7:K7)</f>
        <v>13901013</v>
      </c>
      <c r="M7" s="128">
        <f>+L7-I7-K7</f>
        <v>11716767</v>
      </c>
      <c r="N7" s="251">
        <f>+I7+K7</f>
        <v>2184246</v>
      </c>
      <c r="O7" s="128">
        <f>+L7-N7</f>
        <v>11716767</v>
      </c>
    </row>
    <row r="8" spans="1:15" ht="15.75" thickBot="1" x14ac:dyDescent="0.3">
      <c r="A8" s="187"/>
      <c r="B8" s="177" t="s">
        <v>11</v>
      </c>
      <c r="C8" s="146" t="s">
        <v>12</v>
      </c>
      <c r="D8" s="140">
        <v>12643748</v>
      </c>
      <c r="E8" s="140">
        <v>14854805</v>
      </c>
      <c r="F8" s="140">
        <v>15360084</v>
      </c>
      <c r="G8" s="140">
        <v>15862144</v>
      </c>
      <c r="H8" s="140">
        <v>6787559</v>
      </c>
      <c r="I8" s="248">
        <v>6787559</v>
      </c>
      <c r="J8" s="140">
        <v>7041294</v>
      </c>
      <c r="K8" s="248">
        <v>7041294</v>
      </c>
      <c r="L8" s="212">
        <f>SUM(C8:K8)</f>
        <v>86378487</v>
      </c>
      <c r="M8" s="128">
        <f>+L8-I8-K8</f>
        <v>72549634</v>
      </c>
      <c r="N8" s="251">
        <f>+I8+K8</f>
        <v>13828853</v>
      </c>
      <c r="O8" s="128">
        <f>+L8-N8</f>
        <v>72549634</v>
      </c>
    </row>
    <row r="9" spans="1:15" ht="39" thickBot="1" x14ac:dyDescent="0.3">
      <c r="A9" s="188"/>
      <c r="B9" s="177" t="s">
        <v>15</v>
      </c>
      <c r="C9" s="146"/>
      <c r="D9" s="140"/>
      <c r="E9" s="140"/>
      <c r="F9" s="140"/>
      <c r="G9" s="140"/>
      <c r="H9" s="140"/>
      <c r="I9" s="140"/>
      <c r="J9" s="140"/>
      <c r="K9" s="140"/>
      <c r="L9" s="212">
        <f t="shared" ref="L9:L17" si="0">SUM(C9:J9)</f>
        <v>0</v>
      </c>
      <c r="M9" s="215"/>
      <c r="N9" s="128"/>
      <c r="O9" s="128"/>
    </row>
    <row r="10" spans="1:15" ht="16.5" thickBot="1" x14ac:dyDescent="0.3">
      <c r="A10" s="190" t="s">
        <v>16</v>
      </c>
      <c r="B10" s="191"/>
      <c r="C10" s="197" t="s">
        <v>17</v>
      </c>
      <c r="D10" s="198"/>
      <c r="E10" s="198"/>
      <c r="F10" s="198"/>
      <c r="G10" s="198"/>
      <c r="H10" s="198"/>
      <c r="I10" s="198"/>
      <c r="J10" s="198"/>
      <c r="K10" s="205"/>
      <c r="L10" s="204">
        <f t="shared" si="0"/>
        <v>0</v>
      </c>
      <c r="M10" s="217"/>
      <c r="N10" s="202"/>
    </row>
    <row r="11" spans="1:15" ht="21" customHeight="1" thickBot="1" x14ac:dyDescent="0.3">
      <c r="A11" s="189" t="s">
        <v>18</v>
      </c>
      <c r="B11" s="177" t="s">
        <v>19</v>
      </c>
      <c r="C11" s="146" t="s">
        <v>20</v>
      </c>
      <c r="D11" s="140"/>
      <c r="E11" s="140"/>
      <c r="F11" s="140"/>
      <c r="G11" s="140"/>
      <c r="H11" s="140"/>
      <c r="I11" s="140"/>
      <c r="J11" s="140"/>
      <c r="K11" s="203"/>
      <c r="L11" s="204">
        <f t="shared" si="0"/>
        <v>0</v>
      </c>
      <c r="M11" s="217"/>
    </row>
    <row r="12" spans="1:15" ht="16.5" thickBot="1" x14ac:dyDescent="0.3">
      <c r="A12" s="187"/>
      <c r="B12" s="177" t="s">
        <v>21</v>
      </c>
      <c r="C12" s="146"/>
      <c r="D12" s="140"/>
      <c r="E12" s="140"/>
      <c r="F12" s="140"/>
      <c r="G12" s="140"/>
      <c r="H12" s="140"/>
      <c r="I12" s="140"/>
      <c r="J12" s="140"/>
      <c r="K12" s="203"/>
      <c r="L12" s="204">
        <f t="shared" si="0"/>
        <v>0</v>
      </c>
      <c r="M12" s="218"/>
    </row>
    <row r="13" spans="1:15" ht="16.5" thickBot="1" x14ac:dyDescent="0.3">
      <c r="A13" s="187"/>
      <c r="B13" s="177" t="s">
        <v>22</v>
      </c>
      <c r="C13" s="146"/>
      <c r="D13" s="140"/>
      <c r="E13" s="140"/>
      <c r="F13" s="140"/>
      <c r="G13" s="140"/>
      <c r="H13" s="140"/>
      <c r="I13" s="140"/>
      <c r="J13" s="140"/>
      <c r="K13" s="203"/>
      <c r="L13" s="204">
        <f t="shared" si="0"/>
        <v>0</v>
      </c>
      <c r="M13" s="218"/>
    </row>
    <row r="14" spans="1:15" ht="39" thickBot="1" x14ac:dyDescent="0.3">
      <c r="A14" s="188"/>
      <c r="B14" s="177" t="s">
        <v>23</v>
      </c>
      <c r="C14" s="146"/>
      <c r="D14" s="140"/>
      <c r="E14" s="140"/>
      <c r="F14" s="140"/>
      <c r="G14" s="140"/>
      <c r="H14" s="140"/>
      <c r="I14" s="140"/>
      <c r="J14" s="140"/>
      <c r="K14" s="203"/>
      <c r="L14" s="204">
        <f t="shared" si="0"/>
        <v>0</v>
      </c>
      <c r="M14" s="217"/>
    </row>
    <row r="15" spans="1:15" ht="14.45" customHeight="1" thickBot="1" x14ac:dyDescent="0.3">
      <c r="A15" s="190" t="s">
        <v>24</v>
      </c>
      <c r="B15" s="194"/>
      <c r="C15" s="199"/>
      <c r="D15" s="207"/>
      <c r="E15" s="207"/>
      <c r="F15" s="207"/>
      <c r="G15" s="207"/>
      <c r="H15" s="207"/>
      <c r="I15" s="207"/>
      <c r="J15" s="207"/>
      <c r="K15" s="206"/>
      <c r="L15" s="204">
        <f t="shared" si="0"/>
        <v>0</v>
      </c>
      <c r="M15" s="217"/>
    </row>
    <row r="16" spans="1:15" ht="26.25" thickBot="1" x14ac:dyDescent="0.3">
      <c r="A16" s="189" t="s">
        <v>25</v>
      </c>
      <c r="B16" s="177" t="s">
        <v>26</v>
      </c>
      <c r="C16" s="146"/>
      <c r="D16" s="140"/>
      <c r="E16" s="140"/>
      <c r="F16" s="140"/>
      <c r="G16" s="140"/>
      <c r="H16" s="140"/>
      <c r="I16" s="140"/>
      <c r="J16" s="140"/>
      <c r="K16" s="203"/>
      <c r="L16" s="204">
        <f t="shared" si="0"/>
        <v>0</v>
      </c>
      <c r="M16" s="217"/>
    </row>
    <row r="17" spans="1:13" ht="13.9" customHeight="1" thickBot="1" x14ac:dyDescent="0.3">
      <c r="A17" s="189" t="s">
        <v>27</v>
      </c>
      <c r="B17" s="177" t="s">
        <v>28</v>
      </c>
      <c r="C17" s="146"/>
      <c r="D17" s="140"/>
      <c r="E17" s="140"/>
      <c r="F17" s="140"/>
      <c r="G17" s="140"/>
      <c r="H17" s="140"/>
      <c r="I17" s="140"/>
      <c r="J17" s="140"/>
      <c r="K17" s="203"/>
      <c r="L17" s="204">
        <f t="shared" si="0"/>
        <v>0</v>
      </c>
      <c r="M17" s="219"/>
    </row>
    <row r="18" spans="1:13" ht="16.5" thickBot="1" x14ac:dyDescent="0.3">
      <c r="A18" s="192" t="s">
        <v>29</v>
      </c>
      <c r="B18" s="193"/>
      <c r="C18" s="200" t="s">
        <v>30</v>
      </c>
      <c r="D18" s="201">
        <f t="shared" ref="D18:K18" si="1">SUM(D6:D17)</f>
        <v>14912225</v>
      </c>
      <c r="E18" s="201">
        <f t="shared" si="1"/>
        <v>17195393</v>
      </c>
      <c r="F18" s="201">
        <f t="shared" si="1"/>
        <v>17781574</v>
      </c>
      <c r="G18" s="201">
        <f t="shared" si="1"/>
        <v>18364110</v>
      </c>
      <c r="H18" s="201">
        <f t="shared" si="1"/>
        <v>7859288</v>
      </c>
      <c r="I18" s="249">
        <f t="shared" si="1"/>
        <v>7859288</v>
      </c>
      <c r="J18" s="201">
        <f t="shared" si="1"/>
        <v>8153811</v>
      </c>
      <c r="K18" s="201">
        <f t="shared" si="1"/>
        <v>8153811</v>
      </c>
      <c r="L18" s="225">
        <f>SUM(C18:K18)</f>
        <v>100279500</v>
      </c>
      <c r="M18" s="220"/>
    </row>
    <row r="20" spans="1:13" x14ac:dyDescent="0.25">
      <c r="E20" s="202"/>
      <c r="F20" s="202"/>
      <c r="G20" s="202"/>
      <c r="H20" s="202"/>
      <c r="I20" s="202"/>
      <c r="J20" s="202"/>
      <c r="K20" s="202"/>
    </row>
    <row r="21" spans="1:13" ht="113.25" customHeight="1" x14ac:dyDescent="0.25">
      <c r="I21" s="425" t="s">
        <v>320</v>
      </c>
      <c r="J21" s="425"/>
      <c r="K21" s="425"/>
    </row>
    <row r="23" spans="1:13" ht="19.5" x14ac:dyDescent="0.3">
      <c r="D23" s="211"/>
      <c r="E23" s="211"/>
      <c r="F23" s="211"/>
      <c r="G23" s="211"/>
      <c r="H23" s="211"/>
      <c r="I23" s="211"/>
      <c r="J23" s="211"/>
    </row>
    <row r="27" spans="1:13" x14ac:dyDescent="0.25">
      <c r="D27" s="375"/>
      <c r="E27" s="375"/>
      <c r="F27" s="375"/>
      <c r="G27" s="375"/>
      <c r="H27" s="375"/>
      <c r="I27" s="375"/>
      <c r="J27" s="375"/>
      <c r="K27" s="375"/>
    </row>
    <row r="28" spans="1:13" x14ac:dyDescent="0.25">
      <c r="D28" s="375"/>
      <c r="E28" s="375"/>
      <c r="F28" s="375"/>
      <c r="G28" s="375"/>
      <c r="H28" s="375"/>
      <c r="I28" s="375"/>
      <c r="J28" s="375"/>
      <c r="K28" s="375"/>
      <c r="L28" s="375"/>
    </row>
  </sheetData>
  <customSheetViews>
    <customSheetView guid="{32A281B9-28FB-4D0E-8C01-BFBADAC8C3C9}" scale="115" showPageBreaks="1" printArea="1">
      <selection activeCell="N10" sqref="N10"/>
      <pageMargins left="0.7" right="0.7" top="0.75" bottom="0.75" header="0.3" footer="0.3"/>
      <pageSetup paperSize="9" orientation="portrait" horizontalDpi="300" verticalDpi="300" r:id="rId1"/>
    </customSheetView>
    <customSheetView guid="{77799D3C-38E2-410A-80FA-AECD8E6AB89B}" scale="115" showPageBreaks="1" printArea="1">
      <selection activeCell="F29" sqref="F29"/>
      <pageMargins left="0.7" right="0.7" top="0.75" bottom="0.75" header="0.3" footer="0.3"/>
      <pageSetup paperSize="9" orientation="portrait" horizontalDpi="300" verticalDpi="300" r:id="rId2"/>
    </customSheetView>
    <customSheetView guid="{B426F9F8-EB1A-4D7B-9478-7E22D414CC12}" scale="85" showPageBreaks="1" printArea="1">
      <selection activeCell="D7" sqref="D7:K8"/>
      <pageMargins left="0.7" right="0.7" top="0.75" bottom="0.75" header="0.3" footer="0.3"/>
      <pageSetup paperSize="9" orientation="portrait" horizontalDpi="300" verticalDpi="300" r:id="rId3"/>
    </customSheetView>
    <customSheetView guid="{DD0EA6D3-BC8C-40D3-B12F-B88059C8E3DC}" scale="85">
      <selection activeCell="D7" sqref="D7:K8"/>
      <pageMargins left="0.7" right="0.7" top="0.75" bottom="0.75" header="0.3" footer="0.3"/>
      <pageSetup paperSize="9" orientation="portrait" horizontalDpi="300" verticalDpi="300" r:id="rId4"/>
    </customSheetView>
    <customSheetView guid="{72B67681-E295-44ED-80A6-F4B618B242B1}" scale="115">
      <selection activeCell="F29" sqref="F29"/>
    </customSheetView>
    <customSheetView guid="{9CD5F6CE-0E1C-42DA-A598-93523B740CBC}" scale="115" showPageBreaks="1" printArea="1">
      <selection activeCell="F29" sqref="F29"/>
      <pageMargins left="0.7" right="0.7" top="0.75" bottom="0.75" header="0.3" footer="0.3"/>
      <pageSetup paperSize="9" orientation="portrait" horizontalDpi="300" verticalDpi="300" r:id="rId5"/>
    </customSheetView>
    <customSheetView guid="{E07B67F4-8A17-4050-B9B8-81977BCB02E2}" scale="115" showPageBreaks="1" printArea="1">
      <selection activeCell="A21" sqref="A21"/>
      <pageMargins left="0.7" right="0.7" top="0.75" bottom="0.75" header="0.3" footer="0.3"/>
      <pageSetup paperSize="9" orientation="portrait" horizontalDpi="300" verticalDpi="300" r:id="rId6"/>
    </customSheetView>
    <customSheetView guid="{2A6315F5-C9A2-43A7-B337-00FD30A3EB26}" scale="115" showPageBreaks="1" printArea="1">
      <selection activeCell="F29" sqref="F29"/>
      <pageMargins left="0.7" right="0.7" top="0.75" bottom="0.75" header="0.3" footer="0.3"/>
      <pageSetup paperSize="9" orientation="portrait" horizontalDpi="300" verticalDpi="300" r:id="rId7"/>
    </customSheetView>
    <customSheetView guid="{AD504361-49F3-4986-BDBF-FB73E2299976}" printArea="1" topLeftCell="C1">
      <selection activeCell="M6" sqref="M6:M8"/>
      <pageMargins left="0.7" right="0.7" top="0.75" bottom="0.75" header="0.3" footer="0.3"/>
      <pageSetup paperSize="9" orientation="portrait" horizontalDpi="300" verticalDpi="300" r:id="rId8"/>
    </customSheetView>
    <customSheetView guid="{D1BD168D-40B4-46AB-88B7-64C22520CFA0}" scale="115" showPageBreaks="1" printArea="1">
      <selection activeCell="A2" sqref="A2"/>
      <pageMargins left="0.7" right="0.7" top="0.75" bottom="0.75" header="0.3" footer="0.3"/>
      <pageSetup paperSize="9" orientation="portrait" horizontalDpi="300" verticalDpi="300" r:id="rId9"/>
    </customSheetView>
    <customSheetView guid="{56BC42A3-D967-4F27-BD5A-CB0B8CB7F657}" scale="115" showPageBreaks="1" printArea="1">
      <selection activeCell="F29" sqref="F29"/>
      <pageMargins left="0.7" right="0.7" top="0.75" bottom="0.75" header="0.3" footer="0.3"/>
      <pageSetup paperSize="9" orientation="portrait" horizontalDpi="300" verticalDpi="300" r:id="rId10"/>
    </customSheetView>
    <customSheetView guid="{13EBDE9D-EC74-4522-9EED-363E735B4A78}" scale="90" showPageBreaks="1" showGridLines="0" printArea="1">
      <selection activeCell="J7" sqref="J7"/>
      <pageMargins left="0.7" right="0.7" top="0.75" bottom="0.75" header="0.3" footer="0.3"/>
      <pageSetup paperSize="9" orientation="portrait" horizontalDpi="300" verticalDpi="300" r:id="rId11"/>
    </customSheetView>
  </customSheetViews>
  <mergeCells count="2">
    <mergeCell ref="A3:L3"/>
    <mergeCell ref="I21:K21"/>
  </mergeCells>
  <pageMargins left="0.7" right="0.7" top="0.75" bottom="0.75" header="0.3" footer="0.3"/>
  <pageSetup paperSize="9" orientation="portrait" horizontalDpi="300" verticalDpi="30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E4" zoomScaleNormal="80" workbookViewId="0">
      <selection activeCell="F27" sqref="F27:M27"/>
    </sheetView>
  </sheetViews>
  <sheetFormatPr defaultColWidth="12.85546875" defaultRowHeight="15" x14ac:dyDescent="0.25"/>
  <cols>
    <col min="1" max="1" width="12.85546875" style="132" customWidth="1"/>
    <col min="2" max="2" width="27.28515625" style="132" customWidth="1"/>
    <col min="3" max="4" width="12.85546875" style="132"/>
    <col min="5" max="5" width="17.140625" style="132" customWidth="1"/>
    <col min="6" max="6" width="16.28515625" style="132" bestFit="1" customWidth="1"/>
    <col min="7" max="8" width="16.28515625" style="132" customWidth="1"/>
    <col min="9" max="10" width="14.28515625" style="132" bestFit="1" customWidth="1"/>
    <col min="11" max="11" width="12.85546875" style="132"/>
    <col min="12" max="12" width="17.140625" style="132" bestFit="1" customWidth="1"/>
    <col min="13" max="13" width="16.5703125" style="132" bestFit="1" customWidth="1"/>
    <col min="14" max="14" width="15.42578125" style="149" bestFit="1" customWidth="1"/>
    <col min="15" max="15" width="17.140625" style="317" customWidth="1"/>
    <col min="16" max="17" width="12.85546875" style="317"/>
    <col min="18" max="18" width="13" style="317" bestFit="1" customWidth="1"/>
    <col min="19" max="19" width="16.5703125" style="317" bestFit="1" customWidth="1"/>
    <col min="20" max="20" width="14.28515625" style="317" bestFit="1" customWidth="1"/>
    <col min="21" max="21" width="18.85546875" style="132" customWidth="1"/>
    <col min="22" max="16384" width="12.85546875" style="132"/>
  </cols>
  <sheetData>
    <row r="1" spans="1:24" ht="15.75" customHeight="1" thickBot="1" x14ac:dyDescent="0.3">
      <c r="N1" s="135"/>
    </row>
    <row r="2" spans="1:24" ht="31.5" customHeight="1" thickBot="1" x14ac:dyDescent="0.3">
      <c r="A2" s="445" t="s">
        <v>31</v>
      </c>
      <c r="B2" s="446"/>
      <c r="C2" s="446"/>
      <c r="D2" s="446"/>
      <c r="E2" s="446"/>
      <c r="F2" s="446"/>
      <c r="G2" s="446"/>
      <c r="H2" s="446"/>
      <c r="I2" s="446"/>
      <c r="J2" s="446"/>
      <c r="K2" s="446"/>
      <c r="L2" s="446"/>
      <c r="M2" s="447"/>
      <c r="N2" s="135"/>
      <c r="O2" s="328"/>
      <c r="P2" s="328"/>
      <c r="Q2" s="328"/>
      <c r="R2" s="328"/>
      <c r="S2" s="328"/>
      <c r="T2" s="328"/>
    </row>
    <row r="3" spans="1:24" ht="60.75" customHeight="1" thickBot="1" x14ac:dyDescent="0.3">
      <c r="A3" s="432" t="s">
        <v>32</v>
      </c>
      <c r="B3" s="428" t="s">
        <v>33</v>
      </c>
      <c r="C3" s="428" t="s">
        <v>34</v>
      </c>
      <c r="D3" s="428" t="s">
        <v>35</v>
      </c>
      <c r="E3" s="428" t="s">
        <v>36</v>
      </c>
      <c r="F3" s="428" t="s">
        <v>37</v>
      </c>
      <c r="G3" s="443" t="s">
        <v>318</v>
      </c>
      <c r="H3" s="444"/>
      <c r="I3" s="428" t="s">
        <v>38</v>
      </c>
      <c r="J3" s="443" t="s">
        <v>39</v>
      </c>
      <c r="K3" s="444"/>
      <c r="L3" s="448" t="s">
        <v>40</v>
      </c>
      <c r="M3" s="428" t="s">
        <v>41</v>
      </c>
      <c r="N3" s="135"/>
      <c r="O3" s="329"/>
      <c r="P3" s="329"/>
      <c r="Q3" s="329"/>
      <c r="R3" s="329"/>
      <c r="S3" s="329"/>
      <c r="T3" s="330"/>
    </row>
    <row r="4" spans="1:24" ht="54" customHeight="1" x14ac:dyDescent="0.25">
      <c r="A4" s="433"/>
      <c r="B4" s="429"/>
      <c r="C4" s="429"/>
      <c r="D4" s="429"/>
      <c r="E4" s="429"/>
      <c r="F4" s="429"/>
      <c r="G4" s="245" t="s">
        <v>317</v>
      </c>
      <c r="H4" s="245" t="s">
        <v>319</v>
      </c>
      <c r="I4" s="429"/>
      <c r="J4" s="136" t="s">
        <v>42</v>
      </c>
      <c r="K4" s="136" t="s">
        <v>43</v>
      </c>
      <c r="L4" s="449"/>
      <c r="M4" s="429"/>
      <c r="N4" s="135"/>
      <c r="O4" s="331"/>
      <c r="P4" s="331"/>
      <c r="Q4" s="331"/>
      <c r="R4" s="331"/>
      <c r="S4" s="331"/>
      <c r="T4" s="227"/>
    </row>
    <row r="5" spans="1:24" ht="15.75" thickBot="1" x14ac:dyDescent="0.3">
      <c r="A5" s="434"/>
      <c r="B5" s="137"/>
      <c r="C5" s="138"/>
      <c r="D5" s="137"/>
      <c r="E5" s="137"/>
      <c r="F5" s="137" t="s">
        <v>44</v>
      </c>
      <c r="G5" s="137"/>
      <c r="H5" s="137"/>
      <c r="I5" s="137" t="s">
        <v>45</v>
      </c>
      <c r="J5" s="137" t="s">
        <v>46</v>
      </c>
      <c r="K5" s="137" t="s">
        <v>47</v>
      </c>
      <c r="L5" s="137" t="s">
        <v>48</v>
      </c>
      <c r="M5" s="137" t="s">
        <v>49</v>
      </c>
      <c r="N5" s="135"/>
      <c r="O5" s="332"/>
      <c r="P5" s="332"/>
      <c r="Q5" s="332"/>
      <c r="R5" s="333"/>
      <c r="S5" s="154"/>
      <c r="T5" s="227"/>
      <c r="U5" s="224"/>
    </row>
    <row r="6" spans="1:24" ht="15.75" thickBot="1" x14ac:dyDescent="0.3">
      <c r="A6" s="139"/>
      <c r="B6" s="137"/>
      <c r="C6" s="138"/>
      <c r="D6" s="137"/>
      <c r="E6" s="137"/>
      <c r="F6" s="137"/>
      <c r="G6" s="137"/>
      <c r="H6" s="137"/>
      <c r="I6" s="137"/>
      <c r="J6" s="137"/>
      <c r="K6" s="137"/>
      <c r="L6" s="137"/>
      <c r="M6" s="137"/>
      <c r="N6" s="135"/>
      <c r="O6" s="332"/>
      <c r="P6" s="332"/>
      <c r="Q6" s="332"/>
      <c r="R6" s="333"/>
      <c r="S6" s="154"/>
      <c r="T6" s="227"/>
    </row>
    <row r="7" spans="1:24" ht="47.25" customHeight="1" thickBot="1" x14ac:dyDescent="0.3">
      <c r="A7" s="221" t="s">
        <v>50</v>
      </c>
      <c r="B7" s="221" t="s">
        <v>51</v>
      </c>
      <c r="C7" s="209" t="s">
        <v>52</v>
      </c>
      <c r="D7" s="137" t="s">
        <v>53</v>
      </c>
      <c r="E7" s="213" t="s">
        <v>54</v>
      </c>
      <c r="F7" s="222">
        <v>13901013</v>
      </c>
      <c r="G7" s="258">
        <v>11716767</v>
      </c>
      <c r="H7" s="248">
        <v>2184246</v>
      </c>
      <c r="I7" s="140">
        <f>+J7+K7</f>
        <v>5957577</v>
      </c>
      <c r="J7" s="140">
        <v>5957577</v>
      </c>
      <c r="K7" s="246"/>
      <c r="L7" s="140">
        <f>+F7+I7</f>
        <v>19858590</v>
      </c>
      <c r="M7" s="142">
        <f>+F7/L7</f>
        <v>0.7</v>
      </c>
      <c r="N7" s="135"/>
      <c r="O7" s="332"/>
      <c r="P7" s="332"/>
      <c r="Q7" s="332"/>
      <c r="R7" s="333"/>
      <c r="S7" s="154"/>
      <c r="T7" s="227"/>
      <c r="U7" s="143"/>
    </row>
    <row r="8" spans="1:24" ht="56.25" customHeight="1" thickBot="1" x14ac:dyDescent="0.3">
      <c r="A8" s="221" t="s">
        <v>55</v>
      </c>
      <c r="B8" s="221" t="s">
        <v>56</v>
      </c>
      <c r="C8" s="209" t="s">
        <v>57</v>
      </c>
      <c r="D8" s="137" t="s">
        <v>58</v>
      </c>
      <c r="E8" s="213" t="s">
        <v>59</v>
      </c>
      <c r="F8" s="222">
        <v>86378487</v>
      </c>
      <c r="G8" s="258">
        <v>72549634</v>
      </c>
      <c r="H8" s="248">
        <v>13828853</v>
      </c>
      <c r="I8" s="140">
        <f>+J8+K8</f>
        <v>15243262</v>
      </c>
      <c r="J8" s="140">
        <v>15243262</v>
      </c>
      <c r="K8" s="246"/>
      <c r="L8" s="140">
        <f>+F8+I8</f>
        <v>101621749</v>
      </c>
      <c r="M8" s="142">
        <f>+F8/L8</f>
        <v>0.85000000344414461</v>
      </c>
      <c r="N8" s="135"/>
      <c r="O8" s="332"/>
      <c r="P8" s="332"/>
      <c r="Q8" s="332"/>
      <c r="R8" s="333"/>
      <c r="S8" s="154"/>
      <c r="T8" s="226"/>
      <c r="U8" s="223"/>
    </row>
    <row r="9" spans="1:24" ht="32.25" customHeight="1" thickBot="1" x14ac:dyDescent="0.3">
      <c r="A9" s="435" t="s">
        <v>60</v>
      </c>
      <c r="B9" s="436"/>
      <c r="C9" s="144"/>
      <c r="D9" s="145"/>
      <c r="E9" s="213" t="s">
        <v>61</v>
      </c>
      <c r="F9" s="146"/>
      <c r="G9" s="259"/>
      <c r="H9" s="146"/>
      <c r="I9" s="147">
        <f t="shared" ref="I9:I16" si="0">+J9+K9</f>
        <v>0</v>
      </c>
      <c r="J9" s="146"/>
      <c r="K9" s="247"/>
      <c r="L9" s="140">
        <f t="shared" ref="L9:L16" si="1">+F9+I9</f>
        <v>0</v>
      </c>
      <c r="M9" s="142">
        <v>0</v>
      </c>
      <c r="N9" s="135"/>
      <c r="O9" s="332"/>
      <c r="P9" s="332"/>
      <c r="Q9" s="332"/>
      <c r="R9" s="333"/>
      <c r="S9" s="154"/>
      <c r="T9" s="228"/>
      <c r="U9" s="143"/>
      <c r="V9" s="143"/>
      <c r="W9" s="143"/>
      <c r="X9" s="143"/>
    </row>
    <row r="10" spans="1:24" ht="32.25" customHeight="1" thickBot="1" x14ac:dyDescent="0.3">
      <c r="A10" s="437"/>
      <c r="B10" s="438"/>
      <c r="C10" s="144"/>
      <c r="D10" s="145"/>
      <c r="E10" s="213" t="s">
        <v>62</v>
      </c>
      <c r="F10" s="140">
        <f t="shared" ref="F10:H11" si="2">+F7</f>
        <v>13901013</v>
      </c>
      <c r="G10" s="258">
        <f t="shared" si="2"/>
        <v>11716767</v>
      </c>
      <c r="H10" s="248">
        <f t="shared" si="2"/>
        <v>2184246</v>
      </c>
      <c r="I10" s="140">
        <f>+J10+K10</f>
        <v>5957577</v>
      </c>
      <c r="J10" s="140">
        <f>+J7</f>
        <v>5957577</v>
      </c>
      <c r="K10" s="247"/>
      <c r="L10" s="140">
        <f t="shared" si="1"/>
        <v>19858590</v>
      </c>
      <c r="M10" s="142">
        <f t="shared" ref="M10:M11" si="3">+F10/L10</f>
        <v>0.7</v>
      </c>
      <c r="N10" s="135"/>
      <c r="O10" s="332"/>
      <c r="P10" s="332"/>
      <c r="Q10" s="332"/>
      <c r="R10" s="333"/>
      <c r="S10" s="154"/>
      <c r="T10" s="229"/>
      <c r="U10" s="129"/>
      <c r="V10" s="135"/>
      <c r="W10" s="143"/>
      <c r="X10" s="143"/>
    </row>
    <row r="11" spans="1:24" ht="32.25" customHeight="1" thickBot="1" x14ac:dyDescent="0.3">
      <c r="A11" s="437"/>
      <c r="B11" s="438"/>
      <c r="C11" s="144"/>
      <c r="D11" s="145"/>
      <c r="E11" s="213" t="s">
        <v>63</v>
      </c>
      <c r="F11" s="140">
        <f t="shared" si="2"/>
        <v>86378487</v>
      </c>
      <c r="G11" s="258">
        <f t="shared" si="2"/>
        <v>72549634</v>
      </c>
      <c r="H11" s="248">
        <f t="shared" si="2"/>
        <v>13828853</v>
      </c>
      <c r="I11" s="140">
        <f>+J11+K11</f>
        <v>15243262</v>
      </c>
      <c r="J11" s="140">
        <f>+J8</f>
        <v>15243262</v>
      </c>
      <c r="K11" s="246"/>
      <c r="L11" s="140">
        <f t="shared" si="1"/>
        <v>101621749</v>
      </c>
      <c r="M11" s="148">
        <f t="shared" si="3"/>
        <v>0.85000000344414461</v>
      </c>
      <c r="N11" s="135"/>
      <c r="O11" s="332"/>
      <c r="P11" s="332"/>
      <c r="Q11" s="332"/>
      <c r="R11" s="333"/>
      <c r="S11" s="154"/>
      <c r="T11" s="230"/>
      <c r="U11" s="129"/>
      <c r="V11" s="135"/>
      <c r="W11" s="143"/>
      <c r="X11" s="143"/>
    </row>
    <row r="12" spans="1:24" ht="15.75" thickBot="1" x14ac:dyDescent="0.3">
      <c r="A12" s="439"/>
      <c r="B12" s="440"/>
      <c r="C12" s="144"/>
      <c r="D12" s="145"/>
      <c r="E12" s="213" t="s">
        <v>64</v>
      </c>
      <c r="F12" s="146"/>
      <c r="G12" s="146"/>
      <c r="H12" s="146"/>
      <c r="I12" s="147">
        <f t="shared" si="0"/>
        <v>0</v>
      </c>
      <c r="J12" s="146"/>
      <c r="K12" s="247"/>
      <c r="L12" s="140">
        <f t="shared" si="1"/>
        <v>0</v>
      </c>
      <c r="M12" s="148"/>
      <c r="N12" s="135"/>
      <c r="O12" s="332"/>
      <c r="P12" s="332"/>
      <c r="Q12" s="332"/>
      <c r="R12" s="333"/>
      <c r="S12" s="154"/>
      <c r="T12" s="226"/>
      <c r="U12" s="129"/>
      <c r="V12" s="135"/>
      <c r="W12" s="143"/>
      <c r="X12" s="143"/>
    </row>
    <row r="13" spans="1:24" ht="32.25" customHeight="1" thickBot="1" x14ac:dyDescent="0.3">
      <c r="A13" s="441" t="s">
        <v>65</v>
      </c>
      <c r="B13" s="442"/>
      <c r="C13" s="144"/>
      <c r="D13" s="145"/>
      <c r="E13" s="210" t="s">
        <v>66</v>
      </c>
      <c r="F13" s="140"/>
      <c r="G13" s="140"/>
      <c r="H13" s="140"/>
      <c r="I13" s="140">
        <f t="shared" si="0"/>
        <v>0</v>
      </c>
      <c r="J13" s="140"/>
      <c r="K13" s="137"/>
      <c r="L13" s="140">
        <f t="shared" si="1"/>
        <v>0</v>
      </c>
      <c r="M13" s="148"/>
      <c r="N13" s="135"/>
      <c r="S13" s="334"/>
      <c r="T13" s="318"/>
      <c r="U13" s="129"/>
      <c r="V13" s="135"/>
      <c r="W13" s="143"/>
      <c r="X13" s="143"/>
    </row>
    <row r="14" spans="1:24" ht="32.25" customHeight="1" thickBot="1" x14ac:dyDescent="0.3">
      <c r="A14" s="437"/>
      <c r="B14" s="438"/>
      <c r="C14" s="144"/>
      <c r="D14" s="145"/>
      <c r="E14" s="210" t="s">
        <v>67</v>
      </c>
      <c r="F14" s="140"/>
      <c r="G14" s="140"/>
      <c r="H14" s="140"/>
      <c r="I14" s="140">
        <f t="shared" si="0"/>
        <v>0</v>
      </c>
      <c r="J14" s="140"/>
      <c r="K14" s="137"/>
      <c r="L14" s="140">
        <f>+F14+I14</f>
        <v>0</v>
      </c>
      <c r="M14" s="148"/>
      <c r="N14" s="135"/>
      <c r="Q14" s="319"/>
      <c r="S14" s="334"/>
      <c r="T14" s="318"/>
      <c r="U14" s="135"/>
      <c r="V14" s="231"/>
      <c r="W14" s="143"/>
      <c r="X14" s="143"/>
    </row>
    <row r="15" spans="1:24" ht="32.25" customHeight="1" thickBot="1" x14ac:dyDescent="0.3">
      <c r="A15" s="437"/>
      <c r="B15" s="438"/>
      <c r="C15" s="144"/>
      <c r="D15" s="145"/>
      <c r="E15" s="210" t="s">
        <v>68</v>
      </c>
      <c r="F15" s="140"/>
      <c r="G15" s="140"/>
      <c r="H15" s="140"/>
      <c r="I15" s="140">
        <f t="shared" si="0"/>
        <v>0</v>
      </c>
      <c r="J15" s="140"/>
      <c r="K15" s="141"/>
      <c r="L15" s="140">
        <f>+F15+I15</f>
        <v>0</v>
      </c>
      <c r="M15" s="148"/>
      <c r="N15" s="135"/>
      <c r="O15" s="320"/>
      <c r="P15" s="143"/>
      <c r="Q15" s="319"/>
      <c r="R15" s="143"/>
      <c r="S15" s="334"/>
      <c r="T15" s="321"/>
    </row>
    <row r="16" spans="1:24" ht="68.25" thickBot="1" x14ac:dyDescent="0.3">
      <c r="A16" s="439"/>
      <c r="B16" s="440"/>
      <c r="C16" s="144"/>
      <c r="D16" s="145"/>
      <c r="E16" s="210" t="s">
        <v>69</v>
      </c>
      <c r="F16" s="137"/>
      <c r="G16" s="137"/>
      <c r="H16" s="137"/>
      <c r="I16" s="147">
        <f t="shared" si="0"/>
        <v>0</v>
      </c>
      <c r="J16" s="146"/>
      <c r="K16" s="137"/>
      <c r="L16" s="147">
        <f t="shared" si="1"/>
        <v>0</v>
      </c>
      <c r="M16" s="148"/>
      <c r="N16" s="135"/>
      <c r="O16" s="320"/>
      <c r="P16" s="322"/>
      <c r="Q16" s="322"/>
      <c r="R16" s="323"/>
      <c r="S16" s="135"/>
      <c r="T16" s="143"/>
    </row>
    <row r="17" spans="1:20" ht="15.75" thickBot="1" x14ac:dyDescent="0.3">
      <c r="A17" s="430" t="s">
        <v>70</v>
      </c>
      <c r="B17" s="431"/>
      <c r="C17" s="144"/>
      <c r="D17" s="145" t="s">
        <v>71</v>
      </c>
      <c r="E17" s="208"/>
      <c r="F17" s="137"/>
      <c r="G17" s="137"/>
      <c r="H17" s="137"/>
      <c r="I17" s="146"/>
      <c r="J17" s="146"/>
      <c r="K17" s="137"/>
      <c r="L17" s="146"/>
      <c r="M17" s="142"/>
      <c r="O17" s="320"/>
      <c r="P17" s="322"/>
      <c r="Q17" s="322"/>
      <c r="R17" s="323"/>
      <c r="S17" s="135"/>
      <c r="T17" s="143"/>
    </row>
    <row r="18" spans="1:20" ht="15.75" thickBot="1" x14ac:dyDescent="0.3">
      <c r="A18" s="426" t="s">
        <v>72</v>
      </c>
      <c r="B18" s="427"/>
      <c r="C18" s="144"/>
      <c r="D18" s="150"/>
      <c r="E18" s="208"/>
      <c r="F18" s="151">
        <f>+F10+F11</f>
        <v>100279500</v>
      </c>
      <c r="G18" s="151">
        <f t="shared" ref="G18" si="4">+G10+G11</f>
        <v>84266401</v>
      </c>
      <c r="H18" s="151">
        <f>+H10+H11</f>
        <v>16013099</v>
      </c>
      <c r="I18" s="151">
        <f t="shared" ref="I18:L18" si="5">+I10+I11</f>
        <v>21200839</v>
      </c>
      <c r="J18" s="151">
        <f t="shared" si="5"/>
        <v>21200839</v>
      </c>
      <c r="K18" s="151"/>
      <c r="L18" s="151">
        <f t="shared" si="5"/>
        <v>121480339</v>
      </c>
      <c r="M18" s="152">
        <f>+F18/L18</f>
        <v>0.82547925718251414</v>
      </c>
      <c r="N18" s="293">
        <f>+L18*1.95583</f>
        <v>237594891.42636999</v>
      </c>
      <c r="O18" s="320"/>
      <c r="P18" s="322"/>
      <c r="Q18" s="322"/>
      <c r="R18" s="323"/>
      <c r="S18" s="143"/>
      <c r="T18" s="143"/>
    </row>
    <row r="19" spans="1:20" x14ac:dyDescent="0.25">
      <c r="P19" s="322"/>
      <c r="Q19" s="322"/>
      <c r="R19" s="323"/>
      <c r="S19" s="143"/>
      <c r="T19" s="143"/>
    </row>
    <row r="20" spans="1:20" ht="107.25" customHeight="1" x14ac:dyDescent="0.25">
      <c r="G20" s="425" t="s">
        <v>320</v>
      </c>
      <c r="H20" s="425"/>
      <c r="I20" s="425"/>
      <c r="P20" s="320"/>
      <c r="Q20" s="320"/>
      <c r="R20" s="324"/>
      <c r="S20" s="143"/>
      <c r="T20" s="143"/>
    </row>
    <row r="21" spans="1:20" x14ac:dyDescent="0.25">
      <c r="E21" s="153"/>
      <c r="F21" s="153"/>
      <c r="G21" s="153"/>
      <c r="H21" s="153"/>
      <c r="I21" s="153"/>
      <c r="J21" s="153"/>
      <c r="K21" s="153"/>
      <c r="L21" s="154"/>
      <c r="M21" s="143"/>
      <c r="P21" s="143"/>
      <c r="Q21" s="143"/>
      <c r="R21" s="143"/>
      <c r="S21" s="143"/>
      <c r="T21" s="143"/>
    </row>
    <row r="22" spans="1:20" x14ac:dyDescent="0.25">
      <c r="E22" s="153"/>
      <c r="F22" s="153"/>
      <c r="G22" s="153"/>
      <c r="H22" s="153"/>
      <c r="I22" s="153"/>
      <c r="J22" s="153"/>
      <c r="K22" s="153"/>
      <c r="L22" s="155"/>
      <c r="M22" s="143"/>
      <c r="P22" s="143"/>
      <c r="Q22" s="143"/>
      <c r="R22" s="143"/>
      <c r="S22" s="143"/>
      <c r="T22" s="143"/>
    </row>
    <row r="23" spans="1:20" x14ac:dyDescent="0.25">
      <c r="E23" s="156"/>
      <c r="F23" s="156"/>
      <c r="G23" s="156"/>
      <c r="H23" s="156"/>
      <c r="I23" s="156"/>
      <c r="J23" s="156"/>
      <c r="K23" s="156"/>
      <c r="L23" s="157"/>
      <c r="M23" s="143"/>
      <c r="P23" s="143"/>
      <c r="Q23" s="143"/>
      <c r="R23" s="143"/>
      <c r="S23" s="143"/>
      <c r="T23" s="143"/>
    </row>
    <row r="24" spans="1:20" ht="15.75" customHeight="1" x14ac:dyDescent="0.25">
      <c r="E24" s="239"/>
      <c r="F24" s="239"/>
      <c r="G24" s="239"/>
      <c r="H24" s="327"/>
      <c r="I24" s="240"/>
      <c r="J24" s="240"/>
      <c r="K24" s="242"/>
      <c r="L24" s="244"/>
      <c r="M24" s="242"/>
      <c r="N24" s="240"/>
      <c r="P24" s="143"/>
      <c r="Q24" s="143"/>
      <c r="R24" s="143"/>
      <c r="S24" s="143"/>
      <c r="T24" s="143"/>
    </row>
    <row r="25" spans="1:20" ht="15.75" x14ac:dyDescent="0.25">
      <c r="E25" s="239"/>
      <c r="F25" s="239"/>
      <c r="G25" s="239"/>
      <c r="H25" s="135"/>
      <c r="I25" s="149"/>
      <c r="J25" s="149"/>
      <c r="K25" s="160"/>
      <c r="L25" s="159"/>
      <c r="M25" s="160"/>
      <c r="N25" s="240"/>
      <c r="P25" s="143"/>
      <c r="Q25" s="143"/>
      <c r="R25" s="143"/>
      <c r="S25" s="143"/>
      <c r="T25" s="143"/>
    </row>
    <row r="26" spans="1:20" ht="15.75" x14ac:dyDescent="0.25">
      <c r="E26" s="241"/>
      <c r="F26" s="239"/>
      <c r="G26" s="239"/>
      <c r="H26" s="135"/>
      <c r="I26" s="149"/>
      <c r="J26" s="149"/>
      <c r="K26" s="143"/>
      <c r="L26" s="143"/>
      <c r="M26" s="143"/>
      <c r="N26" s="240"/>
      <c r="P26" s="143"/>
      <c r="Q26" s="143"/>
      <c r="R26" s="143"/>
      <c r="S26" s="143"/>
      <c r="T26" s="143"/>
    </row>
    <row r="27" spans="1:20" ht="15.75" x14ac:dyDescent="0.25">
      <c r="E27" s="242"/>
      <c r="F27" s="239"/>
      <c r="G27" s="239"/>
      <c r="H27" s="135"/>
      <c r="I27" s="149"/>
      <c r="J27" s="149"/>
      <c r="K27" s="143"/>
      <c r="L27" s="143"/>
      <c r="M27" s="143"/>
      <c r="N27" s="240"/>
      <c r="P27" s="143"/>
      <c r="Q27" s="143"/>
      <c r="R27" s="143"/>
      <c r="S27" s="143"/>
      <c r="T27" s="143"/>
    </row>
    <row r="28" spans="1:20" ht="15.75" x14ac:dyDescent="0.25">
      <c r="E28" s="242"/>
      <c r="F28" s="143"/>
      <c r="G28" s="143"/>
      <c r="H28" s="143"/>
      <c r="I28" s="143"/>
      <c r="J28" s="143"/>
      <c r="K28" s="143"/>
      <c r="L28" s="143"/>
      <c r="M28" s="143"/>
      <c r="N28" s="240"/>
      <c r="P28" s="320"/>
      <c r="Q28" s="320"/>
    </row>
    <row r="29" spans="1:20" ht="15.75" x14ac:dyDescent="0.25">
      <c r="L29" s="243"/>
      <c r="M29" s="239"/>
      <c r="N29" s="240"/>
    </row>
    <row r="30" spans="1:20" x14ac:dyDescent="0.25">
      <c r="L30" s="161"/>
      <c r="M30" s="143"/>
    </row>
    <row r="31" spans="1:20" x14ac:dyDescent="0.25">
      <c r="L31" s="143"/>
      <c r="M31" s="143"/>
    </row>
    <row r="32" spans="1:20" x14ac:dyDescent="0.25">
      <c r="L32" s="143"/>
    </row>
    <row r="33" spans="6:12" x14ac:dyDescent="0.25">
      <c r="L33" s="143"/>
    </row>
    <row r="34" spans="6:12" x14ac:dyDescent="0.25">
      <c r="F34" s="143"/>
      <c r="G34" s="143"/>
      <c r="H34" s="143"/>
      <c r="I34" s="162"/>
      <c r="J34" s="158"/>
      <c r="K34" s="158"/>
      <c r="L34" s="143"/>
    </row>
    <row r="35" spans="6:12" x14ac:dyDescent="0.25">
      <c r="F35" s="143"/>
      <c r="G35" s="143"/>
      <c r="H35" s="143"/>
      <c r="I35" s="160"/>
      <c r="J35" s="163"/>
      <c r="K35" s="163"/>
      <c r="L35" s="143"/>
    </row>
    <row r="36" spans="6:12" x14ac:dyDescent="0.25">
      <c r="F36" s="143"/>
      <c r="G36" s="143"/>
      <c r="H36" s="143"/>
      <c r="I36" s="160"/>
      <c r="J36" s="163"/>
      <c r="K36" s="163"/>
      <c r="L36" s="143"/>
    </row>
    <row r="37" spans="6:12" x14ac:dyDescent="0.25">
      <c r="F37" s="143"/>
      <c r="G37" s="143"/>
      <c r="H37" s="143"/>
      <c r="I37" s="160"/>
      <c r="J37" s="163"/>
      <c r="K37" s="160"/>
      <c r="L37" s="143"/>
    </row>
    <row r="38" spans="6:12" x14ac:dyDescent="0.25">
      <c r="F38" s="143"/>
      <c r="G38" s="143"/>
      <c r="H38" s="143"/>
      <c r="I38" s="160"/>
      <c r="J38" s="164"/>
      <c r="K38" s="163"/>
      <c r="L38" s="143"/>
    </row>
    <row r="39" spans="6:12" x14ac:dyDescent="0.25">
      <c r="F39" s="143"/>
      <c r="G39" s="143"/>
      <c r="H39" s="143"/>
      <c r="I39" s="143"/>
      <c r="J39" s="143"/>
      <c r="K39" s="143"/>
      <c r="L39" s="143"/>
    </row>
    <row r="40" spans="6:12" x14ac:dyDescent="0.25">
      <c r="F40" s="143"/>
      <c r="G40" s="143"/>
      <c r="H40" s="143"/>
      <c r="I40" s="143"/>
      <c r="J40" s="156"/>
      <c r="K40" s="156"/>
      <c r="L40" s="143"/>
    </row>
    <row r="41" spans="6:12" x14ac:dyDescent="0.25">
      <c r="F41" s="143"/>
      <c r="G41" s="143"/>
      <c r="H41" s="143"/>
      <c r="I41" s="143"/>
      <c r="J41" s="143"/>
      <c r="K41" s="143"/>
      <c r="L41" s="143"/>
    </row>
    <row r="42" spans="6:12" x14ac:dyDescent="0.25">
      <c r="F42" s="143"/>
      <c r="G42" s="143"/>
      <c r="H42" s="143"/>
      <c r="I42" s="143"/>
      <c r="J42" s="143"/>
      <c r="K42" s="143"/>
      <c r="L42" s="143"/>
    </row>
    <row r="43" spans="6:12" x14ac:dyDescent="0.25">
      <c r="F43" s="143"/>
      <c r="G43" s="143"/>
      <c r="H43" s="143"/>
      <c r="I43" s="143"/>
      <c r="J43" s="143"/>
      <c r="K43" s="143"/>
      <c r="L43" s="143"/>
    </row>
    <row r="44" spans="6:12" x14ac:dyDescent="0.25">
      <c r="F44" s="143"/>
      <c r="G44" s="143"/>
      <c r="H44" s="143"/>
      <c r="I44" s="143"/>
      <c r="J44" s="143"/>
      <c r="K44" s="143"/>
      <c r="L44" s="143"/>
    </row>
  </sheetData>
  <customSheetViews>
    <customSheetView guid="{32A281B9-28FB-4D0E-8C01-BFBADAC8C3C9}" showPageBreaks="1" printArea="1" topLeftCell="E4">
      <selection activeCell="F27" sqref="F27:M27"/>
      <pageMargins left="0.7" right="0.7" top="0.75" bottom="0.75" header="0.3" footer="0.3"/>
      <pageSetup paperSize="9" orientation="portrait" horizontalDpi="300" verticalDpi="300" r:id="rId1"/>
    </customSheetView>
    <customSheetView guid="{77799D3C-38E2-410A-80FA-AECD8E6AB89B}" showPageBreaks="1" printArea="1">
      <selection activeCell="K11" sqref="K11"/>
      <pageMargins left="0.7" right="0.7" top="0.75" bottom="0.75" header="0.3" footer="0.3"/>
      <pageSetup paperSize="9" orientation="portrait" horizontalDpi="300" verticalDpi="300" r:id="rId2"/>
    </customSheetView>
    <customSheetView guid="{B426F9F8-EB1A-4D7B-9478-7E22D414CC12}" showPageBreaks="1" printArea="1" topLeftCell="G1">
      <selection activeCell="N8" sqref="N8"/>
      <pageMargins left="0.7" right="0.7" top="0.75" bottom="0.75" header="0.3" footer="0.3"/>
      <pageSetup paperSize="9" orientation="portrait" horizontalDpi="300" verticalDpi="300" r:id="rId3"/>
    </customSheetView>
    <customSheetView guid="{DD0EA6D3-BC8C-40D3-B12F-B88059C8E3DC}" topLeftCell="G1">
      <selection activeCell="N8" sqref="N8"/>
      <pageMargins left="0.7" right="0.7" top="0.75" bottom="0.75" header="0.3" footer="0.3"/>
      <pageSetup paperSize="9" orientation="portrait" horizontalDpi="300" verticalDpi="300" r:id="rId4"/>
    </customSheetView>
    <customSheetView guid="{72B67681-E295-44ED-80A6-F4B618B242B1}">
      <selection activeCell="C24" sqref="C24"/>
    </customSheetView>
    <customSheetView guid="{9CD5F6CE-0E1C-42DA-A598-93523B740CBC}" showPageBreaks="1" printArea="1">
      <selection activeCell="D9" sqref="D9"/>
      <pageMargins left="0.7" right="0.7" top="0.75" bottom="0.75" header="0.3" footer="0.3"/>
      <pageSetup paperSize="9" orientation="portrait" horizontalDpi="300" verticalDpi="300" r:id="rId5"/>
    </customSheetView>
    <customSheetView guid="{E07B67F4-8A17-4050-B9B8-81977BCB02E2}" showPageBreaks="1" printArea="1" topLeftCell="G10">
      <selection activeCell="G27" sqref="G27"/>
      <pageMargins left="0.7" right="0.7" top="0.75" bottom="0.75" header="0.3" footer="0.3"/>
      <pageSetup paperSize="9" orientation="portrait" horizontalDpi="300" verticalDpi="300" r:id="rId6"/>
    </customSheetView>
    <customSheetView guid="{2A6315F5-C9A2-43A7-B337-00FD30A3EB26}" showPageBreaks="1" printArea="1">
      <selection activeCell="C24" sqref="C24"/>
      <pageMargins left="0.7" right="0.7" top="0.75" bottom="0.75" header="0.3" footer="0.3"/>
      <pageSetup paperSize="9" orientation="portrait" horizontalDpi="300" verticalDpi="300" r:id="rId7"/>
    </customSheetView>
    <customSheetView guid="{AD504361-49F3-4986-BDBF-FB73E2299976}" topLeftCell="A4">
      <selection activeCell="M16" sqref="M16:Q16"/>
      <pageMargins left="0.7" right="0.7" top="0.75" bottom="0.75" header="0.3" footer="0.3"/>
      <pageSetup paperSize="9" orientation="portrait" horizontalDpi="300" verticalDpi="300" r:id="rId8"/>
    </customSheetView>
    <customSheetView guid="{D1BD168D-40B4-46AB-88B7-64C22520CFA0}" scale="85" showPageBreaks="1" printArea="1">
      <selection activeCell="F19" sqref="F19"/>
      <pageMargins left="0.7" right="0.7" top="0.75" bottom="0.75" header="0.3" footer="0.3"/>
      <pageSetup paperSize="9" orientation="portrait" horizontalDpi="300" verticalDpi="300" r:id="rId9"/>
    </customSheetView>
    <customSheetView guid="{56BC42A3-D967-4F27-BD5A-CB0B8CB7F657}" showPageBreaks="1" printArea="1">
      <selection activeCell="K11" sqref="K11"/>
      <pageMargins left="0.7" right="0.7" top="0.75" bottom="0.75" header="0.3" footer="0.3"/>
      <pageSetup paperSize="9" orientation="portrait" horizontalDpi="300" verticalDpi="300" r:id="rId10"/>
    </customSheetView>
    <customSheetView guid="{13EBDE9D-EC74-4522-9EED-363E735B4A78}" showPageBreaks="1" printArea="1" topLeftCell="B4">
      <selection activeCell="I14" sqref="I14"/>
      <pageMargins left="0.7" right="0.7" top="0.75" bottom="0.75" header="0.3" footer="0.3"/>
      <pageSetup paperSize="9" orientation="portrait" horizontalDpi="300" verticalDpi="300" r:id="rId11"/>
    </customSheetView>
  </customSheetViews>
  <mergeCells count="17">
    <mergeCell ref="A2:M2"/>
    <mergeCell ref="B3:B4"/>
    <mergeCell ref="C3:C4"/>
    <mergeCell ref="L3:L4"/>
    <mergeCell ref="M3:M4"/>
    <mergeCell ref="J3:K3"/>
    <mergeCell ref="G20:I20"/>
    <mergeCell ref="A18:B18"/>
    <mergeCell ref="D3:D4"/>
    <mergeCell ref="E3:E4"/>
    <mergeCell ref="F3:F4"/>
    <mergeCell ref="I3:I4"/>
    <mergeCell ref="A17:B17"/>
    <mergeCell ref="A3:A5"/>
    <mergeCell ref="A9:B12"/>
    <mergeCell ref="A13:B16"/>
    <mergeCell ref="G3:H3"/>
  </mergeCells>
  <pageMargins left="0.7" right="0.7" top="0.75" bottom="0.75" header="0.3" footer="0.3"/>
  <pageSetup paperSize="9" orientation="portrait" horizontalDpi="300" verticalDpi="3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view="pageBreakPreview" zoomScale="80" zoomScaleNormal="85" zoomScaleSheetLayoutView="80" workbookViewId="0">
      <selection activeCell="A24" sqref="A24"/>
    </sheetView>
  </sheetViews>
  <sheetFormatPr defaultColWidth="9.140625" defaultRowHeight="15.75" x14ac:dyDescent="0.25"/>
  <cols>
    <col min="1" max="1" width="125.28515625" style="43" bestFit="1" customWidth="1"/>
    <col min="2" max="4" width="26.5703125" style="43" customWidth="1"/>
    <col min="5" max="5" width="23.7109375" style="43" customWidth="1"/>
    <col min="6" max="7" width="18.140625" style="43" customWidth="1"/>
    <col min="8" max="8" width="42.140625" style="43" customWidth="1"/>
    <col min="9" max="9" width="16.7109375" style="43" bestFit="1" customWidth="1"/>
    <col min="10" max="10" width="9.140625" style="43"/>
    <col min="11" max="11" width="15" style="43" bestFit="1" customWidth="1"/>
    <col min="12" max="12" width="18.42578125" style="43" bestFit="1" customWidth="1"/>
    <col min="13" max="13" width="15" style="43" bestFit="1" customWidth="1"/>
    <col min="14" max="14" width="16.140625" style="43" bestFit="1" customWidth="1"/>
    <col min="15" max="15" width="13.7109375" style="43" bestFit="1" customWidth="1"/>
    <col min="16" max="16" width="21" style="43" customWidth="1"/>
    <col min="17" max="17" width="21.5703125" style="43" customWidth="1"/>
    <col min="18" max="18" width="22.140625" style="43" customWidth="1"/>
    <col min="19" max="19" width="14.85546875" style="43" customWidth="1"/>
    <col min="20" max="20" width="19.85546875" style="43" customWidth="1"/>
    <col min="21" max="16384" width="9.140625" style="43"/>
  </cols>
  <sheetData>
    <row r="1" spans="1:19" ht="16.5" thickBot="1" x14ac:dyDescent="0.3">
      <c r="A1" s="453" t="s">
        <v>106</v>
      </c>
      <c r="B1" s="454"/>
      <c r="C1" s="454"/>
      <c r="D1" s="454"/>
      <c r="E1" s="454"/>
      <c r="F1" s="454"/>
      <c r="G1" s="454"/>
      <c r="H1" s="455"/>
      <c r="K1" s="456" t="s">
        <v>107</v>
      </c>
      <c r="L1" s="457"/>
      <c r="M1" s="457"/>
      <c r="N1" s="457"/>
      <c r="O1" s="458"/>
    </row>
    <row r="2" spans="1:19" ht="78.75" x14ac:dyDescent="0.25">
      <c r="A2" s="44" t="s">
        <v>108</v>
      </c>
      <c r="B2" s="45" t="s">
        <v>109</v>
      </c>
      <c r="C2" s="45" t="s">
        <v>110</v>
      </c>
      <c r="D2" s="45" t="s">
        <v>111</v>
      </c>
      <c r="E2" s="45" t="s">
        <v>112</v>
      </c>
      <c r="F2" s="45" t="s">
        <v>113</v>
      </c>
      <c r="G2" s="45" t="s">
        <v>114</v>
      </c>
      <c r="H2" s="45" t="s">
        <v>115</v>
      </c>
      <c r="I2" s="46" t="s">
        <v>116</v>
      </c>
      <c r="J2" s="46" t="s">
        <v>117</v>
      </c>
      <c r="K2" s="47" t="s">
        <v>118</v>
      </c>
      <c r="L2" s="47" t="s">
        <v>119</v>
      </c>
      <c r="M2" s="47" t="s">
        <v>120</v>
      </c>
      <c r="N2" s="48" t="s">
        <v>121</v>
      </c>
      <c r="O2" s="47" t="s">
        <v>122</v>
      </c>
      <c r="P2" s="43">
        <v>1.95583</v>
      </c>
    </row>
    <row r="3" spans="1:19" ht="17.25" customHeight="1" x14ac:dyDescent="0.25">
      <c r="A3" s="459" t="s">
        <v>123</v>
      </c>
      <c r="B3" s="459"/>
      <c r="C3" s="459"/>
      <c r="D3" s="459"/>
      <c r="E3" s="459"/>
      <c r="F3" s="459"/>
      <c r="G3" s="459"/>
      <c r="H3" s="459"/>
      <c r="K3" s="49">
        <v>428871428.57142854</v>
      </c>
      <c r="L3" s="49">
        <f>K3*0.2</f>
        <v>85774285.714285716</v>
      </c>
      <c r="M3" s="49">
        <f>K3-L3</f>
        <v>343097142.85714281</v>
      </c>
      <c r="N3" s="49">
        <f>M3*0.7</f>
        <v>240167999.99999994</v>
      </c>
      <c r="O3" s="50">
        <f>0.3*M3</f>
        <v>102929142.85714284</v>
      </c>
    </row>
    <row r="4" spans="1:19" x14ac:dyDescent="0.25">
      <c r="A4" s="51" t="s">
        <v>124</v>
      </c>
      <c r="B4" s="52">
        <f>0.2*C4</f>
        <v>10507349.999999998</v>
      </c>
      <c r="C4" s="52">
        <f>70/100*D4</f>
        <v>52536749.999999985</v>
      </c>
      <c r="D4" s="52">
        <f>J4*N4</f>
        <v>75052499.999999985</v>
      </c>
      <c r="E4" s="52">
        <f>70/100*F4</f>
        <v>42029399.999999985</v>
      </c>
      <c r="F4" s="52">
        <f>J4*$N$3</f>
        <v>60041999.999999985</v>
      </c>
      <c r="G4" s="52">
        <f>F4*$P$2</f>
        <v>117431944.85999997</v>
      </c>
      <c r="H4" s="53" t="s">
        <v>125</v>
      </c>
      <c r="I4" s="54">
        <f>F4/$F$8</f>
        <v>0.13999999999999999</v>
      </c>
      <c r="J4" s="54">
        <v>0.25</v>
      </c>
      <c r="N4" s="43">
        <f>70/100*K3</f>
        <v>300209999.99999994</v>
      </c>
      <c r="O4" s="43">
        <f>30/100*K3</f>
        <v>128661428.57142855</v>
      </c>
      <c r="P4" s="55"/>
      <c r="Q4" s="56"/>
      <c r="R4" s="56"/>
      <c r="S4" s="56"/>
    </row>
    <row r="5" spans="1:19" ht="31.5" x14ac:dyDescent="0.25">
      <c r="A5" s="57" t="s">
        <v>126</v>
      </c>
      <c r="B5" s="52">
        <f>0.2*C5</f>
        <v>31522049.999999989</v>
      </c>
      <c r="C5" s="52">
        <f>70/100*D5</f>
        <v>157610249.99999994</v>
      </c>
      <c r="D5" s="52">
        <f>J5*N4</f>
        <v>225157499.99999994</v>
      </c>
      <c r="E5" s="52">
        <f>70/100*F5</f>
        <v>126088199.99999996</v>
      </c>
      <c r="F5" s="52">
        <f>J5*$N$3</f>
        <v>180125999.99999994</v>
      </c>
      <c r="G5" s="52">
        <f>F5*$P$2</f>
        <v>352295834.57999986</v>
      </c>
      <c r="H5" s="53" t="s">
        <v>127</v>
      </c>
      <c r="I5" s="54">
        <f>F5/$F$8</f>
        <v>0.41999999999999987</v>
      </c>
      <c r="J5" s="54">
        <v>0.75</v>
      </c>
      <c r="P5" s="56"/>
      <c r="Q5" s="56"/>
      <c r="R5" s="56"/>
      <c r="S5" s="56"/>
    </row>
    <row r="6" spans="1:19" ht="47.25" x14ac:dyDescent="0.25">
      <c r="A6" s="58" t="s">
        <v>128</v>
      </c>
      <c r="B6" s="52">
        <f>0.2*C6</f>
        <v>18012599.999999996</v>
      </c>
      <c r="C6" s="52">
        <f>70/100*D6</f>
        <v>90062999.999999985</v>
      </c>
      <c r="D6" s="52">
        <f>O4</f>
        <v>128661428.57142855</v>
      </c>
      <c r="E6" s="52">
        <f>70/100*F6</f>
        <v>72050399.999999985</v>
      </c>
      <c r="F6" s="52">
        <f>O3</f>
        <v>102929142.85714284</v>
      </c>
      <c r="G6" s="52">
        <f>F6*$P$2</f>
        <v>201311905.47428566</v>
      </c>
      <c r="H6" s="53" t="s">
        <v>129</v>
      </c>
      <c r="I6" s="54">
        <f>F6/$F$8</f>
        <v>0.23999999999999996</v>
      </c>
    </row>
    <row r="7" spans="1:19" ht="31.5" x14ac:dyDescent="0.25">
      <c r="A7" s="59" t="s">
        <v>130</v>
      </c>
      <c r="B7" s="86">
        <f>E7-B4-B5-B6</f>
        <v>0</v>
      </c>
      <c r="C7" s="59"/>
      <c r="D7" s="59">
        <f>D4/70*100*1.95583-120000000</f>
        <v>89699901.535714239</v>
      </c>
      <c r="E7" s="52">
        <f>70/100*F7</f>
        <v>60042000</v>
      </c>
      <c r="F7" s="60">
        <f>L3</f>
        <v>85774285.714285716</v>
      </c>
      <c r="G7" s="52">
        <f>F7*$P$2</f>
        <v>167759921.22857141</v>
      </c>
      <c r="H7" s="61" t="s">
        <v>131</v>
      </c>
      <c r="I7" s="54">
        <f>F7/$F$8</f>
        <v>0.2</v>
      </c>
    </row>
    <row r="8" spans="1:19" x14ac:dyDescent="0.25">
      <c r="A8" s="62" t="s">
        <v>132</v>
      </c>
      <c r="B8" s="62"/>
      <c r="C8" s="62"/>
      <c r="D8" s="62"/>
      <c r="E8" s="50">
        <f>SUM(E4:E7)</f>
        <v>300209999.99999994</v>
      </c>
      <c r="F8" s="63">
        <f>SUM(F4:F7)</f>
        <v>428871428.57142854</v>
      </c>
      <c r="G8" s="63">
        <f>SUM(G4:G7)</f>
        <v>838799606.14285684</v>
      </c>
      <c r="H8" s="64"/>
    </row>
    <row r="9" spans="1:19" ht="51.75" customHeight="1" thickBot="1" x14ac:dyDescent="0.3">
      <c r="A9" s="460" t="s">
        <v>133</v>
      </c>
      <c r="B9" s="461"/>
      <c r="C9" s="461"/>
      <c r="D9" s="461"/>
      <c r="E9" s="461"/>
      <c r="F9" s="461"/>
      <c r="G9" s="461"/>
      <c r="H9" s="462"/>
      <c r="I9" s="46" t="s">
        <v>134</v>
      </c>
      <c r="J9" s="46"/>
      <c r="K9" s="65" t="s">
        <v>135</v>
      </c>
      <c r="L9" s="65" t="s">
        <v>136</v>
      </c>
      <c r="M9" s="65" t="s">
        <v>137</v>
      </c>
      <c r="N9" s="66" t="s">
        <v>138</v>
      </c>
      <c r="O9" s="65"/>
    </row>
    <row r="10" spans="1:19" ht="31.5" x14ac:dyDescent="0.25">
      <c r="A10" s="67" t="s">
        <v>139</v>
      </c>
      <c r="B10" s="67"/>
      <c r="C10" s="67"/>
      <c r="D10" s="67"/>
      <c r="E10" s="67"/>
      <c r="F10" s="68">
        <f>I10*K10</f>
        <v>106490914.2857143</v>
      </c>
      <c r="G10" s="68">
        <f t="shared" ref="G10:G15" si="0">F10*$P$2</f>
        <v>208278124.88742858</v>
      </c>
      <c r="H10" s="53" t="s">
        <v>140</v>
      </c>
      <c r="I10" s="54">
        <v>0.17</v>
      </c>
      <c r="K10" s="49">
        <v>626417142.85714293</v>
      </c>
      <c r="L10" s="49">
        <f>F16</f>
        <v>93962571.428571433</v>
      </c>
      <c r="M10" s="69">
        <f>I10+I11+I12</f>
        <v>0.55000000000000004</v>
      </c>
      <c r="N10" s="69">
        <f>I16+I15+I14+I13</f>
        <v>0.45</v>
      </c>
      <c r="O10" s="50"/>
    </row>
    <row r="11" spans="1:19" ht="31.5" x14ac:dyDescent="0.25">
      <c r="A11" s="70" t="s">
        <v>141</v>
      </c>
      <c r="B11" s="70"/>
      <c r="C11" s="70"/>
      <c r="D11" s="70"/>
      <c r="E11" s="70"/>
      <c r="F11" s="71">
        <f>I11*K10</f>
        <v>175396800.00000003</v>
      </c>
      <c r="G11" s="68">
        <f t="shared" si="0"/>
        <v>343046323.34400004</v>
      </c>
      <c r="H11" s="53" t="s">
        <v>142</v>
      </c>
      <c r="I11" s="54">
        <v>0.28000000000000003</v>
      </c>
    </row>
    <row r="12" spans="1:19" x14ac:dyDescent="0.25">
      <c r="A12" s="70" t="s">
        <v>143</v>
      </c>
      <c r="B12" s="70"/>
      <c r="C12" s="70"/>
      <c r="D12" s="70"/>
      <c r="E12" s="70"/>
      <c r="F12" s="71">
        <f>I12*K10</f>
        <v>62641714.285714298</v>
      </c>
      <c r="G12" s="68">
        <f t="shared" si="0"/>
        <v>122516544.0514286</v>
      </c>
      <c r="H12" s="53" t="s">
        <v>144</v>
      </c>
      <c r="I12" s="54">
        <v>0.1</v>
      </c>
    </row>
    <row r="13" spans="1:19" ht="31.5" x14ac:dyDescent="0.25">
      <c r="A13" s="70" t="s">
        <v>145</v>
      </c>
      <c r="B13" s="70"/>
      <c r="C13" s="70"/>
      <c r="D13" s="70"/>
      <c r="E13" s="70"/>
      <c r="F13" s="71">
        <f>I13*K10</f>
        <v>31320857.142857149</v>
      </c>
      <c r="G13" s="68">
        <f t="shared" si="0"/>
        <v>61258272.025714301</v>
      </c>
      <c r="H13" s="53" t="s">
        <v>146</v>
      </c>
      <c r="I13" s="54">
        <v>0.05</v>
      </c>
    </row>
    <row r="14" spans="1:19" x14ac:dyDescent="0.25">
      <c r="A14" s="58" t="s">
        <v>147</v>
      </c>
      <c r="B14" s="58"/>
      <c r="C14" s="58"/>
      <c r="D14" s="58"/>
      <c r="E14" s="58"/>
      <c r="F14" s="71">
        <f>I14*K10</f>
        <v>62641714.285714298</v>
      </c>
      <c r="G14" s="68">
        <f t="shared" si="0"/>
        <v>122516544.0514286</v>
      </c>
      <c r="H14" s="53" t="s">
        <v>148</v>
      </c>
      <c r="I14" s="54">
        <v>0.1</v>
      </c>
    </row>
    <row r="15" spans="1:19" ht="31.5" x14ac:dyDescent="0.25">
      <c r="A15" s="70" t="s">
        <v>149</v>
      </c>
      <c r="B15" s="70"/>
      <c r="C15" s="70"/>
      <c r="D15" s="70"/>
      <c r="E15" s="70"/>
      <c r="F15" s="71">
        <f>I15*K10</f>
        <v>93962571.428571433</v>
      </c>
      <c r="G15" s="68">
        <f t="shared" si="0"/>
        <v>183774816.07714286</v>
      </c>
      <c r="H15" s="53" t="s">
        <v>150</v>
      </c>
      <c r="I15" s="54">
        <v>0.15</v>
      </c>
    </row>
    <row r="16" spans="1:19" ht="31.5" x14ac:dyDescent="0.25">
      <c r="A16" s="70" t="s">
        <v>151</v>
      </c>
      <c r="B16" s="70"/>
      <c r="C16" s="70"/>
      <c r="D16" s="70"/>
      <c r="E16" s="70"/>
      <c r="F16" s="71">
        <f>I16*K10</f>
        <v>93962571.428571433</v>
      </c>
      <c r="G16" s="68">
        <f>F16*$P$2</f>
        <v>183774816.07714286</v>
      </c>
      <c r="H16" s="53" t="s">
        <v>152</v>
      </c>
      <c r="I16" s="54">
        <v>0.15</v>
      </c>
    </row>
    <row r="17" spans="1:15" x14ac:dyDescent="0.25">
      <c r="A17" s="62" t="s">
        <v>153</v>
      </c>
      <c r="B17" s="62"/>
      <c r="C17" s="62"/>
      <c r="D17" s="62"/>
      <c r="E17" s="62"/>
      <c r="F17" s="63">
        <f>SUM(F10:F16)</f>
        <v>626417142.85714304</v>
      </c>
      <c r="G17" s="63">
        <f>F17*$P$2</f>
        <v>1225165440.514286</v>
      </c>
      <c r="H17" s="72"/>
    </row>
    <row r="18" spans="1:15" ht="47.25" x14ac:dyDescent="0.25">
      <c r="A18" s="450" t="s">
        <v>154</v>
      </c>
      <c r="B18" s="451"/>
      <c r="C18" s="451"/>
      <c r="D18" s="451"/>
      <c r="E18" s="451"/>
      <c r="F18" s="451"/>
      <c r="G18" s="451"/>
      <c r="H18" s="452"/>
      <c r="I18" s="46" t="s">
        <v>155</v>
      </c>
      <c r="J18" s="46"/>
      <c r="K18" s="65" t="s">
        <v>156</v>
      </c>
      <c r="L18" s="65" t="s">
        <v>157</v>
      </c>
      <c r="M18" s="65" t="s">
        <v>158</v>
      </c>
      <c r="N18" s="66" t="s">
        <v>159</v>
      </c>
      <c r="O18" s="65"/>
    </row>
    <row r="19" spans="1:15" ht="31.5" x14ac:dyDescent="0.25">
      <c r="A19" s="70" t="s">
        <v>160</v>
      </c>
      <c r="B19" s="70"/>
      <c r="C19" s="70"/>
      <c r="D19" s="70"/>
      <c r="E19" s="70"/>
      <c r="F19" s="71">
        <f>I19*K19</f>
        <v>146164000</v>
      </c>
      <c r="G19" s="71">
        <f t="shared" ref="G19:G30" si="1">F19*$P$2</f>
        <v>285871936.12</v>
      </c>
      <c r="H19" s="53" t="s">
        <v>161</v>
      </c>
      <c r="I19" s="54">
        <v>0.35</v>
      </c>
      <c r="K19" s="49">
        <v>417611428.5714286</v>
      </c>
      <c r="L19" s="49">
        <f>F25</f>
        <v>57820285.714285731</v>
      </c>
      <c r="M19" s="69">
        <f>I19+I20+I21+I22</f>
        <v>0.75</v>
      </c>
      <c r="N19" s="69">
        <f>I23+I24+I25</f>
        <v>0.25</v>
      </c>
      <c r="O19" s="50"/>
    </row>
    <row r="20" spans="1:15" ht="47.25" x14ac:dyDescent="0.25">
      <c r="A20" s="70" t="s">
        <v>162</v>
      </c>
      <c r="B20" s="70"/>
      <c r="C20" s="70"/>
      <c r="D20" s="70"/>
      <c r="E20" s="70"/>
      <c r="F20" s="71">
        <f>I20*K19</f>
        <v>83522285.714285731</v>
      </c>
      <c r="G20" s="71">
        <f t="shared" si="1"/>
        <v>163355392.06857145</v>
      </c>
      <c r="H20" s="53" t="s">
        <v>163</v>
      </c>
      <c r="I20" s="54">
        <v>0.2</v>
      </c>
    </row>
    <row r="21" spans="1:15" ht="47.25" x14ac:dyDescent="0.25">
      <c r="A21" s="70" t="s">
        <v>164</v>
      </c>
      <c r="B21" s="70"/>
      <c r="C21" s="70"/>
      <c r="D21" s="70"/>
      <c r="E21" s="70"/>
      <c r="F21" s="71">
        <f>I21*K19</f>
        <v>41761142.857142866</v>
      </c>
      <c r="G21" s="71">
        <f t="shared" si="1"/>
        <v>81677696.034285724</v>
      </c>
      <c r="H21" s="53" t="s">
        <v>165</v>
      </c>
      <c r="I21" s="54">
        <v>0.1</v>
      </c>
    </row>
    <row r="22" spans="1:15" x14ac:dyDescent="0.25">
      <c r="A22" s="70" t="s">
        <v>166</v>
      </c>
      <c r="B22" s="70"/>
      <c r="C22" s="70"/>
      <c r="D22" s="70"/>
      <c r="E22" s="70"/>
      <c r="F22" s="71">
        <f>I22*K19</f>
        <v>41761142.857142866</v>
      </c>
      <c r="G22" s="71">
        <f t="shared" si="1"/>
        <v>81677696.034285724</v>
      </c>
      <c r="H22" s="53" t="s">
        <v>167</v>
      </c>
      <c r="I22" s="54">
        <v>0.1</v>
      </c>
    </row>
    <row r="23" spans="1:15" x14ac:dyDescent="0.25">
      <c r="A23" s="70" t="s">
        <v>168</v>
      </c>
      <c r="B23" s="70"/>
      <c r="C23" s="70"/>
      <c r="D23" s="70"/>
      <c r="E23" s="70"/>
      <c r="F23" s="71">
        <f>I23*K19</f>
        <v>20880571.428571433</v>
      </c>
      <c r="G23" s="71">
        <f>F23*$P$2</f>
        <v>40838848.017142862</v>
      </c>
      <c r="H23" s="53" t="s">
        <v>169</v>
      </c>
      <c r="I23" s="54">
        <v>0.05</v>
      </c>
    </row>
    <row r="24" spans="1:15" x14ac:dyDescent="0.25">
      <c r="A24" s="70" t="s">
        <v>170</v>
      </c>
      <c r="B24" s="70"/>
      <c r="C24" s="70"/>
      <c r="D24" s="70"/>
      <c r="E24" s="70"/>
      <c r="F24" s="71">
        <f>I24*K19</f>
        <v>25701999.999999989</v>
      </c>
      <c r="G24" s="71">
        <f>F24*$P$2</f>
        <v>50268742.659999974</v>
      </c>
      <c r="H24" s="53" t="s">
        <v>171</v>
      </c>
      <c r="I24" s="54">
        <f>20%-I25</f>
        <v>6.1545250540488733E-2</v>
      </c>
    </row>
    <row r="25" spans="1:15" ht="47.25" x14ac:dyDescent="0.25">
      <c r="A25" s="70" t="s">
        <v>172</v>
      </c>
      <c r="B25" s="70"/>
      <c r="C25" s="70"/>
      <c r="D25" s="70"/>
      <c r="E25" s="70"/>
      <c r="F25" s="71">
        <f>F33-F16</f>
        <v>57820285.714285731</v>
      </c>
      <c r="G25" s="71">
        <f t="shared" si="1"/>
        <v>113086649.40857147</v>
      </c>
      <c r="H25" s="53" t="s">
        <v>173</v>
      </c>
      <c r="I25" s="73">
        <f>F25/K19</f>
        <v>0.13845474945951128</v>
      </c>
      <c r="K25" s="65" t="s">
        <v>174</v>
      </c>
      <c r="L25" s="65" t="s">
        <v>175</v>
      </c>
      <c r="M25" s="65" t="s">
        <v>176</v>
      </c>
      <c r="N25" s="66" t="s">
        <v>177</v>
      </c>
      <c r="O25" s="65"/>
    </row>
    <row r="26" spans="1:15" x14ac:dyDescent="0.25">
      <c r="A26" s="62" t="s">
        <v>178</v>
      </c>
      <c r="B26" s="62"/>
      <c r="C26" s="62"/>
      <c r="D26" s="62"/>
      <c r="E26" s="62"/>
      <c r="F26" s="63">
        <f>SUM(F19:F25)</f>
        <v>417611428.57142866</v>
      </c>
      <c r="G26" s="63">
        <f t="shared" si="1"/>
        <v>816776960.34285724</v>
      </c>
      <c r="H26" s="72"/>
      <c r="I26" s="54"/>
      <c r="K26" s="49">
        <f>K10+K19</f>
        <v>1044028571.4285715</v>
      </c>
      <c r="L26" s="49">
        <f>L19+L10</f>
        <v>151782857.14285716</v>
      </c>
      <c r="M26" s="69">
        <f>(F10+F11+F12+F19+F20+F21+F22)/K26</f>
        <v>0.63000000000000023</v>
      </c>
      <c r="N26" s="69">
        <f>(F13+F14+F15+F16+F23+F24+F25)/K26</f>
        <v>0.37</v>
      </c>
      <c r="O26" s="50"/>
    </row>
    <row r="27" spans="1:15" ht="15.75" customHeight="1" x14ac:dyDescent="0.25">
      <c r="A27" s="450" t="s">
        <v>179</v>
      </c>
      <c r="B27" s="451"/>
      <c r="C27" s="451"/>
      <c r="D27" s="451"/>
      <c r="E27" s="451"/>
      <c r="F27" s="451"/>
      <c r="G27" s="451"/>
      <c r="H27" s="452"/>
      <c r="I27" s="54"/>
    </row>
    <row r="28" spans="1:15" x14ac:dyDescent="0.25">
      <c r="A28" s="62" t="s">
        <v>180</v>
      </c>
      <c r="B28" s="62"/>
      <c r="C28" s="62"/>
      <c r="D28" s="62"/>
      <c r="E28" s="62"/>
      <c r="F28" s="63">
        <v>44928571.428571425</v>
      </c>
      <c r="G28" s="63">
        <f>F28*1.95583</f>
        <v>87872647.857142851</v>
      </c>
      <c r="H28" s="72"/>
      <c r="I28" s="54"/>
    </row>
    <row r="29" spans="1:15" ht="31.5" x14ac:dyDescent="0.25">
      <c r="A29" s="74" t="s">
        <v>181</v>
      </c>
      <c r="B29" s="74"/>
      <c r="C29" s="74"/>
      <c r="D29" s="74"/>
      <c r="E29" s="74"/>
      <c r="F29" s="75">
        <f>F26+F17+F28</f>
        <v>1088957142.8571432</v>
      </c>
      <c r="G29" s="75">
        <f t="shared" si="1"/>
        <v>2129815048.7142863</v>
      </c>
      <c r="H29" s="75"/>
      <c r="I29" s="54"/>
      <c r="K29" s="65" t="s">
        <v>182</v>
      </c>
      <c r="L29" s="65" t="s">
        <v>183</v>
      </c>
    </row>
    <row r="30" spans="1:15" ht="30" customHeight="1" x14ac:dyDescent="0.25">
      <c r="A30" s="74" t="s">
        <v>184</v>
      </c>
      <c r="B30" s="74"/>
      <c r="C30" s="74"/>
      <c r="D30" s="74"/>
      <c r="E30" s="74"/>
      <c r="F30" s="75">
        <f>F29+F8</f>
        <v>1517828571.4285717</v>
      </c>
      <c r="G30" s="75">
        <f t="shared" si="1"/>
        <v>2968614654.8571434</v>
      </c>
      <c r="H30" s="75"/>
      <c r="I30" s="54"/>
      <c r="K30" s="49">
        <v>1517828571.4285715</v>
      </c>
      <c r="L30" s="76">
        <f>L26/K30</f>
        <v>0.1</v>
      </c>
    </row>
    <row r="32" spans="1:15" x14ac:dyDescent="0.25">
      <c r="L32" s="77"/>
    </row>
    <row r="33" spans="6:7" x14ac:dyDescent="0.25">
      <c r="F33" s="77">
        <v>151782857.14285716</v>
      </c>
      <c r="G33" s="77">
        <f>F33*1.95583</f>
        <v>296861465.48571432</v>
      </c>
    </row>
  </sheetData>
  <customSheetViews>
    <customSheetView guid="{32A281B9-28FB-4D0E-8C01-BFBADAC8C3C9}" scale="80" showPageBreaks="1" fitToPage="1" printArea="1" state="hidden" view="pageBreakPreview">
      <selection activeCell="A24" sqref="A24"/>
      <pageMargins left="0.7" right="0.7" top="0.75" bottom="0.75" header="0.3" footer="0.3"/>
      <pageSetup paperSize="9" scale="31" orientation="landscape" r:id="rId1"/>
    </customSheetView>
    <customSheetView guid="{77799D3C-38E2-410A-80FA-AECD8E6AB89B}" scale="80" showPageBreaks="1" fitToPage="1" printArea="1" state="hidden" view="pageBreakPreview">
      <selection activeCell="A24" sqref="A24"/>
      <pageMargins left="0.7" right="0.7" top="0.75" bottom="0.75" header="0.3" footer="0.3"/>
      <pageSetup paperSize="9" scale="31" orientation="landscape" r:id="rId2"/>
    </customSheetView>
    <customSheetView guid="{B426F9F8-EB1A-4D7B-9478-7E22D414CC12}" scale="80" showPageBreaks="1" fitToPage="1" printArea="1" state="hidden" view="pageBreakPreview">
      <selection activeCell="A24" sqref="A24"/>
      <pageMargins left="0.7" right="0.7" top="0.75" bottom="0.75" header="0.3" footer="0.3"/>
      <pageSetup paperSize="9" scale="31" orientation="landscape" r:id="rId3"/>
    </customSheetView>
    <customSheetView guid="{DD0EA6D3-BC8C-40D3-B12F-B88059C8E3DC}" scale="80" showPageBreaks="1" fitToPage="1" printArea="1" state="hidden" view="pageBreakPreview">
      <selection activeCell="A24" sqref="A24"/>
      <pageMargins left="0.7" right="0.7" top="0.75" bottom="0.75" header="0.3" footer="0.3"/>
      <pageSetup paperSize="9" scale="31" orientation="landscape" r:id="rId4"/>
    </customSheetView>
    <customSheetView guid="{72B67681-E295-44ED-80A6-F4B618B242B1}" scale="80" showPageBreaks="1" state="hidden" view="pageBreakPreview">
      <selection activeCell="A24" sqref="A24"/>
    </customSheetView>
    <customSheetView guid="{9CD5F6CE-0E1C-42DA-A598-93523B740CBC}" scale="80" showPageBreaks="1" fitToPage="1" printArea="1" state="hidden" view="pageBreakPreview">
      <selection activeCell="A24" sqref="A24"/>
      <pageMargins left="0.7" right="0.7" top="0.75" bottom="0.75" header="0.3" footer="0.3"/>
      <pageSetup paperSize="9" scale="31" orientation="landscape" r:id="rId5"/>
    </customSheetView>
    <customSheetView guid="{E07B67F4-8A17-4050-B9B8-81977BCB02E2}" scale="80" showPageBreaks="1" fitToPage="1" printArea="1" state="hidden" view="pageBreakPreview">
      <selection activeCell="A24" sqref="A24"/>
      <pageMargins left="0.7" right="0.7" top="0.75" bottom="0.75" header="0.3" footer="0.3"/>
      <pageSetup paperSize="9" scale="31" orientation="landscape" r:id="rId6"/>
    </customSheetView>
    <customSheetView guid="{2A6315F5-C9A2-43A7-B337-00FD30A3EB26}" scale="80" showPageBreaks="1" fitToPage="1" printArea="1" state="hidden" view="pageBreakPreview">
      <selection activeCell="A24" sqref="A24"/>
      <pageMargins left="0.7" right="0.7" top="0.75" bottom="0.75" header="0.3" footer="0.3"/>
      <pageSetup paperSize="9" scale="31" orientation="landscape" r:id="rId7"/>
    </customSheetView>
    <customSheetView guid="{AD504361-49F3-4986-BDBF-FB73E2299976}" scale="80" showPageBreaks="1" fitToPage="1" printArea="1" state="hidden" view="pageBreakPreview">
      <selection activeCell="A24" sqref="A24"/>
      <pageMargins left="0.7" right="0.7" top="0.75" bottom="0.75" header="0.3" footer="0.3"/>
      <pageSetup paperSize="9" scale="31" orientation="landscape" r:id="rId8"/>
    </customSheetView>
    <customSheetView guid="{D1BD168D-40B4-46AB-88B7-64C22520CFA0}" scale="80" showPageBreaks="1" fitToPage="1" printArea="1" state="hidden" view="pageBreakPreview">
      <selection activeCell="A24" sqref="A24"/>
      <pageMargins left="0.7" right="0.7" top="0.75" bottom="0.75" header="0.3" footer="0.3"/>
      <pageSetup paperSize="9" scale="31" orientation="landscape" r:id="rId9"/>
    </customSheetView>
    <customSheetView guid="{56BC42A3-D967-4F27-BD5A-CB0B8CB7F657}" scale="80" showPageBreaks="1" fitToPage="1" printArea="1" state="hidden" view="pageBreakPreview">
      <selection activeCell="A24" sqref="A24"/>
      <pageMargins left="0.7" right="0.7" top="0.75" bottom="0.75" header="0.3" footer="0.3"/>
      <pageSetup paperSize="9" scale="31" orientation="landscape" r:id="rId10"/>
    </customSheetView>
    <customSheetView guid="{13EBDE9D-EC74-4522-9EED-363E735B4A78}" scale="80" showPageBreaks="1" fitToPage="1" printArea="1" state="hidden" view="pageBreakPreview">
      <selection activeCell="A24" sqref="A24"/>
      <pageMargins left="0.7" right="0.7" top="0.75" bottom="0.75" header="0.3" footer="0.3"/>
      <pageSetup paperSize="9" scale="31" orientation="landscape" r:id="rId11"/>
    </customSheetView>
  </customSheetViews>
  <mergeCells count="6">
    <mergeCell ref="A27:H27"/>
    <mergeCell ref="A1:H1"/>
    <mergeCell ref="K1:O1"/>
    <mergeCell ref="A3:H3"/>
    <mergeCell ref="A9:H9"/>
    <mergeCell ref="A18:H18"/>
  </mergeCells>
  <pageMargins left="0.7" right="0.7" top="0.75" bottom="0.75" header="0.3" footer="0.3"/>
  <pageSetup paperSize="9" scale="31" orientation="landscape" r:id="rId12"/>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U116"/>
  <sheetViews>
    <sheetView zoomScale="85" zoomScaleNormal="120" zoomScaleSheetLayoutView="100" workbookViewId="0">
      <pane xSplit="1" ySplit="1" topLeftCell="B52" activePane="bottomRight" state="frozen"/>
      <selection pane="topRight" activeCell="B1" sqref="B1"/>
      <selection pane="bottomLeft" activeCell="A2" sqref="A2"/>
      <selection pane="bottomRight" activeCell="A54" sqref="A54"/>
    </sheetView>
  </sheetViews>
  <sheetFormatPr defaultColWidth="21.42578125" defaultRowHeight="12" x14ac:dyDescent="0.2"/>
  <cols>
    <col min="1" max="1" width="20.7109375" style="272" customWidth="1"/>
    <col min="2" max="2" width="5.85546875" style="273" customWidth="1"/>
    <col min="3" max="3" width="8.7109375" style="274" customWidth="1"/>
    <col min="4" max="4" width="8" style="274" customWidth="1"/>
    <col min="5" max="5" width="49.5703125" style="272" customWidth="1"/>
    <col min="6" max="6" width="74.140625" style="275" customWidth="1"/>
    <col min="7" max="7" width="26.28515625" style="276" customWidth="1"/>
    <col min="8" max="8" width="64.85546875" style="272" customWidth="1"/>
    <col min="9" max="9" width="42.85546875" style="272" customWidth="1"/>
    <col min="10" max="10" width="13.5703125" style="272" customWidth="1"/>
    <col min="11" max="11" width="11.85546875" style="272" customWidth="1"/>
    <col min="12" max="12" width="12.140625" style="272" customWidth="1"/>
    <col min="13" max="13" width="9.7109375" style="272" customWidth="1"/>
    <col min="14" max="14" width="10.85546875" style="340" customWidth="1"/>
    <col min="15" max="15" width="9.5703125" style="340" customWidth="1"/>
    <col min="16" max="18" width="13.42578125" style="340" customWidth="1"/>
    <col min="19" max="19" width="11.7109375" style="340" customWidth="1"/>
    <col min="20" max="16384" width="21.42578125" style="277"/>
  </cols>
  <sheetData>
    <row r="1" spans="1:19" s="335" customFormat="1" ht="107.25" customHeight="1" x14ac:dyDescent="0.25">
      <c r="A1" s="301" t="s">
        <v>339</v>
      </c>
      <c r="B1" s="302" t="s">
        <v>327</v>
      </c>
      <c r="C1" s="302" t="s">
        <v>328</v>
      </c>
      <c r="D1" s="302" t="s">
        <v>325</v>
      </c>
      <c r="E1" s="302" t="s">
        <v>340</v>
      </c>
      <c r="F1" s="302" t="s">
        <v>341</v>
      </c>
      <c r="G1" s="303" t="s">
        <v>338</v>
      </c>
      <c r="H1" s="302" t="s">
        <v>342</v>
      </c>
      <c r="I1" s="302" t="s">
        <v>343</v>
      </c>
      <c r="J1" s="232" t="s">
        <v>481</v>
      </c>
      <c r="K1" s="232" t="s">
        <v>344</v>
      </c>
      <c r="L1" s="232" t="s">
        <v>345</v>
      </c>
      <c r="M1" s="265" t="s">
        <v>346</v>
      </c>
      <c r="N1" s="265" t="s">
        <v>348</v>
      </c>
      <c r="O1" s="265" t="s">
        <v>349</v>
      </c>
      <c r="P1" s="265" t="s">
        <v>350</v>
      </c>
      <c r="Q1" s="265" t="s">
        <v>351</v>
      </c>
      <c r="R1" s="265" t="s">
        <v>352</v>
      </c>
      <c r="S1" s="342" t="s">
        <v>354</v>
      </c>
    </row>
    <row r="2" spans="1:19" s="336" customFormat="1" ht="11.25" customHeight="1" x14ac:dyDescent="0.25">
      <c r="A2" s="304">
        <v>1</v>
      </c>
      <c r="B2" s="263">
        <v>2</v>
      </c>
      <c r="C2" s="264">
        <v>3</v>
      </c>
      <c r="D2" s="264">
        <v>4</v>
      </c>
      <c r="E2" s="263">
        <v>5</v>
      </c>
      <c r="F2" s="263">
        <v>5</v>
      </c>
      <c r="G2" s="263">
        <v>6</v>
      </c>
      <c r="H2" s="263">
        <v>7</v>
      </c>
      <c r="I2" s="263">
        <v>8</v>
      </c>
      <c r="J2" s="252">
        <v>9</v>
      </c>
      <c r="K2" s="233">
        <v>10</v>
      </c>
      <c r="L2" s="233">
        <v>11</v>
      </c>
      <c r="M2" s="266">
        <v>12</v>
      </c>
      <c r="N2" s="266">
        <v>13</v>
      </c>
      <c r="O2" s="266">
        <v>14</v>
      </c>
      <c r="P2" s="266">
        <v>15</v>
      </c>
      <c r="Q2" s="266">
        <v>16</v>
      </c>
      <c r="R2" s="266">
        <v>17</v>
      </c>
      <c r="S2" s="233">
        <v>19</v>
      </c>
    </row>
    <row r="3" spans="1:19" ht="254.25" customHeight="1" x14ac:dyDescent="0.25">
      <c r="A3" s="286" t="s">
        <v>324</v>
      </c>
      <c r="B3" s="260" t="s">
        <v>326</v>
      </c>
      <c r="C3" s="261">
        <f>'Подробно разпределение '!P3</f>
        <v>23</v>
      </c>
      <c r="D3" s="261">
        <f>'Подробно разпределение '!AD3</f>
        <v>66</v>
      </c>
      <c r="E3" s="234" t="s">
        <v>494</v>
      </c>
      <c r="F3" s="235" t="s">
        <v>477</v>
      </c>
      <c r="G3" s="262" t="s">
        <v>347</v>
      </c>
      <c r="H3" s="234" t="s">
        <v>492</v>
      </c>
      <c r="I3" s="234" t="s">
        <v>436</v>
      </c>
      <c r="J3" s="253">
        <v>181</v>
      </c>
      <c r="K3" s="351">
        <v>3071597.7</v>
      </c>
      <c r="L3" s="351">
        <v>7277618.29</v>
      </c>
      <c r="M3" s="267"/>
      <c r="N3" s="325">
        <v>5</v>
      </c>
      <c r="O3" s="325">
        <v>5</v>
      </c>
      <c r="P3" s="325">
        <v>5</v>
      </c>
      <c r="Q3" s="325">
        <v>5</v>
      </c>
      <c r="R3" s="325">
        <v>5</v>
      </c>
      <c r="S3" s="325"/>
    </row>
    <row r="4" spans="1:19" ht="12" customHeight="1" x14ac:dyDescent="0.25">
      <c r="A4" s="305"/>
      <c r="B4" s="291" t="s">
        <v>326</v>
      </c>
      <c r="C4" s="288">
        <f>ROUND(C3/6,0)</f>
        <v>4</v>
      </c>
      <c r="D4" s="288">
        <f>ROUND(D3/6,0)</f>
        <v>11</v>
      </c>
      <c r="E4" s="306"/>
      <c r="F4" s="306"/>
      <c r="G4" s="307"/>
      <c r="H4" s="308"/>
      <c r="I4" s="308"/>
      <c r="J4" s="254" t="s">
        <v>316</v>
      </c>
      <c r="K4" s="295">
        <v>425793.09</v>
      </c>
      <c r="L4" s="295">
        <v>1189684.18</v>
      </c>
      <c r="M4" s="268">
        <v>0.7</v>
      </c>
      <c r="N4" s="325"/>
      <c r="O4" s="325"/>
      <c r="P4" s="325"/>
      <c r="Q4" s="325"/>
      <c r="R4" s="325"/>
      <c r="S4" s="325"/>
    </row>
    <row r="5" spans="1:19" ht="36" x14ac:dyDescent="0.25">
      <c r="A5" s="305"/>
      <c r="B5" s="291" t="s">
        <v>326</v>
      </c>
      <c r="C5" s="288">
        <f>C3-C4</f>
        <v>19</v>
      </c>
      <c r="D5" s="288">
        <f>D3-D4</f>
        <v>55</v>
      </c>
      <c r="E5" s="306"/>
      <c r="F5" s="306"/>
      <c r="G5" s="307"/>
      <c r="H5" s="308"/>
      <c r="I5" s="308"/>
      <c r="J5" s="254" t="s">
        <v>314</v>
      </c>
      <c r="K5" s="296">
        <v>2645804.61</v>
      </c>
      <c r="L5" s="295">
        <v>6087934.1100000003</v>
      </c>
      <c r="M5" s="268">
        <v>0.85</v>
      </c>
      <c r="N5" s="325"/>
      <c r="O5" s="325"/>
      <c r="P5" s="325"/>
      <c r="Q5" s="325"/>
      <c r="R5" s="325"/>
      <c r="S5" s="325"/>
    </row>
    <row r="6" spans="1:19" ht="359.25" customHeight="1" x14ac:dyDescent="0.25">
      <c r="A6" s="286" t="s">
        <v>331</v>
      </c>
      <c r="B6" s="261" t="s">
        <v>326</v>
      </c>
      <c r="C6" s="261">
        <f>'Подробно разпределение '!P4</f>
        <v>2</v>
      </c>
      <c r="D6" s="261">
        <f>'Подробно разпределение '!AD4</f>
        <v>10</v>
      </c>
      <c r="E6" s="234" t="s">
        <v>437</v>
      </c>
      <c r="F6" s="235" t="s">
        <v>499</v>
      </c>
      <c r="G6" s="262" t="s">
        <v>347</v>
      </c>
      <c r="H6" s="234" t="s">
        <v>505</v>
      </c>
      <c r="I6" s="234" t="s">
        <v>420</v>
      </c>
      <c r="J6" s="253">
        <v>181</v>
      </c>
      <c r="K6" s="351">
        <v>2330854.4700000002</v>
      </c>
      <c r="L6" s="351">
        <v>5522555.5800000001</v>
      </c>
      <c r="M6" s="267"/>
      <c r="N6" s="325">
        <v>5</v>
      </c>
      <c r="O6" s="325"/>
      <c r="P6" s="325"/>
      <c r="Q6" s="325"/>
      <c r="R6" s="325"/>
      <c r="S6" s="325"/>
    </row>
    <row r="7" spans="1:19" ht="12" customHeight="1" x14ac:dyDescent="0.25">
      <c r="A7" s="305"/>
      <c r="B7" s="291" t="s">
        <v>326</v>
      </c>
      <c r="C7" s="289">
        <f>ROUND(C6/6,2)</f>
        <v>0.33</v>
      </c>
      <c r="D7" s="289">
        <f>ROUND(D6/6,2)</f>
        <v>1.67</v>
      </c>
      <c r="E7" s="306"/>
      <c r="F7" s="306"/>
      <c r="G7" s="307"/>
      <c r="H7" s="308"/>
      <c r="I7" s="308"/>
      <c r="J7" s="254" t="s">
        <v>316</v>
      </c>
      <c r="K7" s="296">
        <v>323109.28999999998</v>
      </c>
      <c r="L7" s="295">
        <v>902781.21</v>
      </c>
      <c r="M7" s="268">
        <v>0.7</v>
      </c>
      <c r="N7" s="325"/>
      <c r="O7" s="325"/>
      <c r="P7" s="325"/>
      <c r="Q7" s="325"/>
      <c r="R7" s="325"/>
      <c r="S7" s="325"/>
    </row>
    <row r="8" spans="1:19" ht="14.25" customHeight="1" x14ac:dyDescent="0.25">
      <c r="A8" s="305"/>
      <c r="B8" s="291" t="s">
        <v>326</v>
      </c>
      <c r="C8" s="289">
        <f>C6-C7</f>
        <v>1.67</v>
      </c>
      <c r="D8" s="289">
        <f>D6-D7</f>
        <v>8.33</v>
      </c>
      <c r="E8" s="306"/>
      <c r="F8" s="306"/>
      <c r="G8" s="307"/>
      <c r="H8" s="308"/>
      <c r="I8" s="308"/>
      <c r="J8" s="254" t="s">
        <v>314</v>
      </c>
      <c r="K8" s="295">
        <v>2007745.18</v>
      </c>
      <c r="L8" s="295">
        <v>4619774.37</v>
      </c>
      <c r="M8" s="268">
        <v>0.85</v>
      </c>
      <c r="N8" s="325"/>
      <c r="O8" s="325"/>
      <c r="P8" s="325"/>
      <c r="Q8" s="325"/>
      <c r="R8" s="325"/>
      <c r="S8" s="325"/>
    </row>
    <row r="9" spans="1:19" ht="206.25" customHeight="1" x14ac:dyDescent="0.25">
      <c r="A9" s="286" t="s">
        <v>353</v>
      </c>
      <c r="B9" s="260" t="s">
        <v>326</v>
      </c>
      <c r="C9" s="261">
        <f>'Подробно разпределение '!P5</f>
        <v>25</v>
      </c>
      <c r="D9" s="261">
        <f>'Подробно разпределение '!AD5</f>
        <v>44</v>
      </c>
      <c r="E9" s="234" t="s">
        <v>482</v>
      </c>
      <c r="F9" s="235" t="s">
        <v>503</v>
      </c>
      <c r="G9" s="262" t="s">
        <v>347</v>
      </c>
      <c r="H9" s="234" t="s">
        <v>491</v>
      </c>
      <c r="I9" s="234" t="s">
        <v>483</v>
      </c>
      <c r="J9" s="253">
        <v>180</v>
      </c>
      <c r="K9" s="351">
        <v>5257261.1900000004</v>
      </c>
      <c r="L9" s="351">
        <v>12456168.99</v>
      </c>
      <c r="M9" s="267"/>
      <c r="N9" s="325">
        <v>10</v>
      </c>
      <c r="O9" s="325">
        <v>10</v>
      </c>
      <c r="P9" s="325">
        <v>10</v>
      </c>
      <c r="Q9" s="325">
        <v>10</v>
      </c>
      <c r="R9" s="325">
        <v>10</v>
      </c>
      <c r="S9" s="325"/>
    </row>
    <row r="10" spans="1:19" ht="12" customHeight="1" x14ac:dyDescent="0.25">
      <c r="A10" s="305"/>
      <c r="B10" s="291" t="s">
        <v>326</v>
      </c>
      <c r="C10" s="288">
        <f>ROUND(C9/6,0)</f>
        <v>4</v>
      </c>
      <c r="D10" s="288">
        <f>ROUND(D9/6,0)</f>
        <v>7</v>
      </c>
      <c r="E10" s="306"/>
      <c r="F10" s="306"/>
      <c r="G10" s="307"/>
      <c r="H10" s="308"/>
      <c r="I10" s="308"/>
      <c r="J10" s="254" t="s">
        <v>316</v>
      </c>
      <c r="K10" s="296">
        <v>728775.64</v>
      </c>
      <c r="L10" s="295">
        <v>2036230.3499999996</v>
      </c>
      <c r="M10" s="268">
        <v>0.7</v>
      </c>
      <c r="N10" s="325"/>
      <c r="O10" s="325"/>
      <c r="P10" s="325"/>
      <c r="Q10" s="325"/>
      <c r="R10" s="325"/>
      <c r="S10" s="325"/>
    </row>
    <row r="11" spans="1:19" ht="36" x14ac:dyDescent="0.25">
      <c r="A11" s="305"/>
      <c r="B11" s="291" t="s">
        <v>326</v>
      </c>
      <c r="C11" s="288">
        <f>C9-C10</f>
        <v>21</v>
      </c>
      <c r="D11" s="288">
        <f>D9-D10</f>
        <v>37</v>
      </c>
      <c r="E11" s="306"/>
      <c r="F11" s="306"/>
      <c r="G11" s="307"/>
      <c r="H11" s="308"/>
      <c r="I11" s="308"/>
      <c r="J11" s="254" t="s">
        <v>314</v>
      </c>
      <c r="K11" s="295">
        <v>4528485.55</v>
      </c>
      <c r="L11" s="295">
        <v>10419938.640000001</v>
      </c>
      <c r="M11" s="268">
        <v>0.85</v>
      </c>
      <c r="N11" s="325"/>
      <c r="O11" s="325"/>
      <c r="P11" s="325"/>
      <c r="Q11" s="325"/>
      <c r="R11" s="325"/>
      <c r="S11" s="325"/>
    </row>
    <row r="12" spans="1:19" s="337" customFormat="1" ht="57.75" customHeight="1" x14ac:dyDescent="0.25">
      <c r="A12" s="270" t="s">
        <v>408</v>
      </c>
      <c r="B12" s="260" t="s">
        <v>326</v>
      </c>
      <c r="C12" s="261">
        <f>'Подробно разпределение '!P6</f>
        <v>493</v>
      </c>
      <c r="D12" s="261">
        <f>'Подробно разпределение '!AD6</f>
        <v>1719</v>
      </c>
      <c r="E12" s="234" t="s">
        <v>386</v>
      </c>
      <c r="F12" s="235" t="s">
        <v>506</v>
      </c>
      <c r="G12" s="262" t="s">
        <v>347</v>
      </c>
      <c r="H12" s="309" t="s">
        <v>387</v>
      </c>
      <c r="I12" s="234" t="s">
        <v>390</v>
      </c>
      <c r="J12" s="253">
        <v>180</v>
      </c>
      <c r="K12" s="238">
        <v>5844325.1200000001</v>
      </c>
      <c r="L12" s="238">
        <v>13847115.24</v>
      </c>
      <c r="M12" s="267"/>
      <c r="N12" s="325"/>
      <c r="O12" s="325">
        <v>15</v>
      </c>
      <c r="P12" s="325">
        <v>15</v>
      </c>
      <c r="Q12" s="325">
        <v>15</v>
      </c>
      <c r="R12" s="325">
        <v>15</v>
      </c>
      <c r="S12" s="325"/>
    </row>
    <row r="13" spans="1:19" x14ac:dyDescent="0.25">
      <c r="A13" s="305"/>
      <c r="B13" s="291" t="s">
        <v>326</v>
      </c>
      <c r="C13" s="288">
        <f>ROUND(C12/6,0)</f>
        <v>82</v>
      </c>
      <c r="D13" s="288">
        <f>ROUND(D12/6,0)</f>
        <v>287</v>
      </c>
      <c r="E13" s="306"/>
      <c r="F13" s="306"/>
      <c r="G13" s="307"/>
      <c r="H13" s="308"/>
      <c r="I13" s="308"/>
      <c r="J13" s="254" t="s">
        <v>316</v>
      </c>
      <c r="K13" s="296">
        <v>810156.01</v>
      </c>
      <c r="L13" s="295">
        <v>2263610.61</v>
      </c>
      <c r="M13" s="268">
        <v>0.7</v>
      </c>
      <c r="N13" s="325"/>
      <c r="O13" s="325"/>
      <c r="P13" s="325"/>
      <c r="Q13" s="325"/>
      <c r="R13" s="325"/>
      <c r="S13" s="325"/>
    </row>
    <row r="14" spans="1:19" ht="36" x14ac:dyDescent="0.25">
      <c r="A14" s="305"/>
      <c r="B14" s="291" t="s">
        <v>326</v>
      </c>
      <c r="C14" s="288">
        <f>C12-C13</f>
        <v>411</v>
      </c>
      <c r="D14" s="288">
        <f>D12-D13</f>
        <v>1432</v>
      </c>
      <c r="E14" s="306"/>
      <c r="F14" s="306"/>
      <c r="G14" s="307"/>
      <c r="H14" s="308"/>
      <c r="I14" s="308"/>
      <c r="J14" s="254" t="s">
        <v>314</v>
      </c>
      <c r="K14" s="296">
        <v>5034169.1100000003</v>
      </c>
      <c r="L14" s="295">
        <v>11583504.630000001</v>
      </c>
      <c r="M14" s="268">
        <v>0.85</v>
      </c>
      <c r="N14" s="325"/>
      <c r="O14" s="325"/>
      <c r="P14" s="325"/>
      <c r="Q14" s="325"/>
      <c r="R14" s="325"/>
      <c r="S14" s="325"/>
    </row>
    <row r="15" spans="1:19" s="337" customFormat="1" ht="149.25" customHeight="1" x14ac:dyDescent="0.25">
      <c r="A15" s="270" t="s">
        <v>409</v>
      </c>
      <c r="B15" s="260" t="s">
        <v>321</v>
      </c>
      <c r="C15" s="261">
        <f>'Подробно разпределение '!P7</f>
        <v>46</v>
      </c>
      <c r="D15" s="261">
        <f>'Подробно разпределение '!AD7</f>
        <v>50</v>
      </c>
      <c r="E15" s="234" t="s">
        <v>501</v>
      </c>
      <c r="F15" s="234" t="s">
        <v>438</v>
      </c>
      <c r="G15" s="262" t="s">
        <v>347</v>
      </c>
      <c r="H15" s="309" t="s">
        <v>484</v>
      </c>
      <c r="I15" s="234" t="s">
        <v>500</v>
      </c>
      <c r="J15" s="253">
        <v>180</v>
      </c>
      <c r="K15" s="238">
        <v>870143.18</v>
      </c>
      <c r="L15" s="238">
        <v>2061653.36</v>
      </c>
      <c r="M15" s="267"/>
      <c r="N15" s="325"/>
      <c r="O15" s="325"/>
      <c r="P15" s="325"/>
      <c r="Q15" s="325"/>
      <c r="R15" s="325">
        <v>20</v>
      </c>
      <c r="S15" s="325"/>
    </row>
    <row r="16" spans="1:19" x14ac:dyDescent="0.25">
      <c r="A16" s="305"/>
      <c r="B16" s="292" t="s">
        <v>321</v>
      </c>
      <c r="C16" s="288">
        <v>46</v>
      </c>
      <c r="D16" s="288">
        <v>50</v>
      </c>
      <c r="E16" s="306"/>
      <c r="F16" s="306"/>
      <c r="G16" s="307"/>
      <c r="H16" s="308"/>
      <c r="I16" s="308"/>
      <c r="J16" s="254" t="s">
        <v>316</v>
      </c>
      <c r="K16" s="296">
        <v>120621.58</v>
      </c>
      <c r="L16" s="295">
        <v>337021.85</v>
      </c>
      <c r="M16" s="268">
        <v>0.7</v>
      </c>
      <c r="N16" s="325"/>
      <c r="O16" s="325"/>
      <c r="P16" s="325"/>
      <c r="Q16" s="325"/>
      <c r="R16" s="325"/>
      <c r="S16" s="325"/>
    </row>
    <row r="17" spans="1:19" ht="36" x14ac:dyDescent="0.25">
      <c r="A17" s="305"/>
      <c r="B17" s="292" t="s">
        <v>321</v>
      </c>
      <c r="C17" s="288">
        <v>46</v>
      </c>
      <c r="D17" s="288">
        <v>50</v>
      </c>
      <c r="E17" s="306"/>
      <c r="F17" s="306"/>
      <c r="G17" s="307"/>
      <c r="H17" s="308"/>
      <c r="I17" s="308"/>
      <c r="J17" s="254" t="s">
        <v>314</v>
      </c>
      <c r="K17" s="296">
        <v>749521.6</v>
      </c>
      <c r="L17" s="295">
        <v>1724631.51</v>
      </c>
      <c r="M17" s="268">
        <v>0.85</v>
      </c>
      <c r="N17" s="325"/>
      <c r="O17" s="325"/>
      <c r="P17" s="325"/>
      <c r="Q17" s="325"/>
      <c r="R17" s="325"/>
      <c r="S17" s="325"/>
    </row>
    <row r="18" spans="1:19" ht="292.5" customHeight="1" x14ac:dyDescent="0.25">
      <c r="A18" s="287" t="s">
        <v>410</v>
      </c>
      <c r="B18" s="260" t="s">
        <v>326</v>
      </c>
      <c r="C18" s="285">
        <f>'Подробно разпределение '!P8</f>
        <v>0</v>
      </c>
      <c r="D18" s="285">
        <f>'Подробно разпределение '!AD8</f>
        <v>1</v>
      </c>
      <c r="E18" s="235" t="s">
        <v>495</v>
      </c>
      <c r="F18" s="235" t="s">
        <v>485</v>
      </c>
      <c r="G18" s="262" t="s">
        <v>347</v>
      </c>
      <c r="H18" s="234" t="s">
        <v>507</v>
      </c>
      <c r="I18" s="234" t="s">
        <v>421</v>
      </c>
      <c r="J18" s="253">
        <v>180</v>
      </c>
      <c r="K18" s="238">
        <v>1792534.62</v>
      </c>
      <c r="L18" s="238">
        <v>4247100</v>
      </c>
      <c r="M18" s="271"/>
      <c r="N18" s="325"/>
      <c r="O18" s="325"/>
      <c r="P18" s="325"/>
      <c r="Q18" s="325"/>
      <c r="R18" s="325"/>
      <c r="S18" s="325"/>
    </row>
    <row r="19" spans="1:19" x14ac:dyDescent="0.25">
      <c r="A19" s="305"/>
      <c r="B19" s="291" t="s">
        <v>326</v>
      </c>
      <c r="C19" s="289">
        <f>ROUND(C18/6,2)</f>
        <v>0</v>
      </c>
      <c r="D19" s="289">
        <f>ROUND(D18/6,2)</f>
        <v>0.17</v>
      </c>
      <c r="E19" s="306"/>
      <c r="F19" s="306"/>
      <c r="G19" s="307"/>
      <c r="H19" s="308"/>
      <c r="I19" s="308"/>
      <c r="J19" s="254" t="s">
        <v>316</v>
      </c>
      <c r="K19" s="295">
        <v>248485.95</v>
      </c>
      <c r="L19" s="295">
        <v>694280.39</v>
      </c>
      <c r="M19" s="268">
        <v>0.7</v>
      </c>
      <c r="N19" s="325"/>
      <c r="O19" s="325"/>
      <c r="P19" s="325"/>
      <c r="Q19" s="325"/>
      <c r="R19" s="325"/>
      <c r="S19" s="325"/>
    </row>
    <row r="20" spans="1:19" ht="36" x14ac:dyDescent="0.25">
      <c r="A20" s="305"/>
      <c r="B20" s="291" t="s">
        <v>326</v>
      </c>
      <c r="C20" s="289">
        <f>C18-C19</f>
        <v>0</v>
      </c>
      <c r="D20" s="289">
        <f>D18-D19</f>
        <v>0.83</v>
      </c>
      <c r="E20" s="306"/>
      <c r="F20" s="306"/>
      <c r="G20" s="307"/>
      <c r="H20" s="308"/>
      <c r="I20" s="308"/>
      <c r="J20" s="254" t="s">
        <v>314</v>
      </c>
      <c r="K20" s="295">
        <v>1544048.67</v>
      </c>
      <c r="L20" s="295">
        <v>3552819.61</v>
      </c>
      <c r="M20" s="268">
        <v>0.85</v>
      </c>
      <c r="N20" s="325"/>
      <c r="O20" s="325"/>
      <c r="P20" s="325"/>
      <c r="Q20" s="325"/>
      <c r="R20" s="325"/>
      <c r="S20" s="325"/>
    </row>
    <row r="21" spans="1:19" s="337" customFormat="1" ht="130.5" customHeight="1" x14ac:dyDescent="0.25">
      <c r="A21" s="286" t="s">
        <v>411</v>
      </c>
      <c r="B21" s="260" t="s">
        <v>326</v>
      </c>
      <c r="C21" s="391">
        <f>'Подробно разпределение '!P9</f>
        <v>25</v>
      </c>
      <c r="D21" s="391">
        <f>'Подробно разпределение '!AD9</f>
        <v>75</v>
      </c>
      <c r="E21" s="234" t="s">
        <v>433</v>
      </c>
      <c r="F21" s="236" t="s">
        <v>467</v>
      </c>
      <c r="G21" s="262" t="s">
        <v>347</v>
      </c>
      <c r="H21" s="234" t="s">
        <v>508</v>
      </c>
      <c r="I21" s="234" t="s">
        <v>391</v>
      </c>
      <c r="J21" s="253">
        <v>180</v>
      </c>
      <c r="K21" s="238">
        <v>5622120.3799999999</v>
      </c>
      <c r="L21" s="238">
        <v>13320639.6</v>
      </c>
      <c r="M21" s="267"/>
      <c r="N21" s="325">
        <v>8</v>
      </c>
      <c r="O21" s="325"/>
      <c r="P21" s="325"/>
      <c r="Q21" s="325"/>
      <c r="R21" s="325"/>
      <c r="S21" s="325"/>
    </row>
    <row r="22" spans="1:19" x14ac:dyDescent="0.25">
      <c r="A22" s="305"/>
      <c r="B22" s="291" t="s">
        <v>326</v>
      </c>
      <c r="C22" s="288">
        <f>ROUND(C21/6,0)</f>
        <v>4</v>
      </c>
      <c r="D22" s="288">
        <f>ROUND(D21/6,0)</f>
        <v>13</v>
      </c>
      <c r="E22" s="306"/>
      <c r="F22" s="306"/>
      <c r="G22" s="307"/>
      <c r="H22" s="308"/>
      <c r="I22" s="308"/>
      <c r="J22" s="254" t="s">
        <v>316</v>
      </c>
      <c r="K22" s="296">
        <v>779353.39</v>
      </c>
      <c r="L22" s="295">
        <v>2177546.77</v>
      </c>
      <c r="M22" s="268">
        <v>0.7</v>
      </c>
      <c r="N22" s="325"/>
      <c r="O22" s="325"/>
      <c r="P22" s="325"/>
      <c r="Q22" s="325"/>
      <c r="R22" s="325"/>
      <c r="S22" s="325"/>
    </row>
    <row r="23" spans="1:19" ht="36" x14ac:dyDescent="0.25">
      <c r="A23" s="305"/>
      <c r="B23" s="291" t="s">
        <v>326</v>
      </c>
      <c r="C23" s="288">
        <f>C21-C22</f>
        <v>21</v>
      </c>
      <c r="D23" s="288">
        <f>D21-D22</f>
        <v>62</v>
      </c>
      <c r="E23" s="306"/>
      <c r="F23" s="306"/>
      <c r="G23" s="307"/>
      <c r="H23" s="308"/>
      <c r="I23" s="308"/>
      <c r="J23" s="254" t="s">
        <v>314</v>
      </c>
      <c r="K23" s="296">
        <v>4842766.99</v>
      </c>
      <c r="L23" s="295">
        <v>11143092.83</v>
      </c>
      <c r="M23" s="268">
        <v>0.85</v>
      </c>
      <c r="N23" s="325"/>
      <c r="O23" s="325"/>
      <c r="P23" s="325"/>
      <c r="Q23" s="325"/>
      <c r="R23" s="325"/>
      <c r="S23" s="325"/>
    </row>
    <row r="24" spans="1:19" ht="115.5" customHeight="1" x14ac:dyDescent="0.25">
      <c r="A24" s="286" t="s">
        <v>412</v>
      </c>
      <c r="B24" s="260" t="s">
        <v>321</v>
      </c>
      <c r="C24" s="391">
        <v>10</v>
      </c>
      <c r="D24" s="391">
        <v>30</v>
      </c>
      <c r="E24" s="234" t="s">
        <v>496</v>
      </c>
      <c r="F24" s="349" t="s">
        <v>486</v>
      </c>
      <c r="G24" s="262" t="s">
        <v>347</v>
      </c>
      <c r="H24" s="234" t="s">
        <v>487</v>
      </c>
      <c r="I24" s="234" t="s">
        <v>392</v>
      </c>
      <c r="J24" s="253">
        <v>180</v>
      </c>
      <c r="K24" s="238">
        <v>6013696.3099999996</v>
      </c>
      <c r="L24" s="238">
        <v>14248410.890000001</v>
      </c>
      <c r="M24" s="267"/>
      <c r="N24" s="325">
        <v>8</v>
      </c>
      <c r="O24" s="325"/>
      <c r="P24" s="325"/>
      <c r="Q24" s="325"/>
      <c r="R24" s="325"/>
      <c r="S24" s="325"/>
    </row>
    <row r="25" spans="1:19" x14ac:dyDescent="0.25">
      <c r="A25" s="305"/>
      <c r="B25" s="292" t="s">
        <v>321</v>
      </c>
      <c r="C25" s="288">
        <v>10</v>
      </c>
      <c r="D25" s="288">
        <v>30</v>
      </c>
      <c r="E25" s="306"/>
      <c r="F25" s="306"/>
      <c r="G25" s="307"/>
      <c r="H25" s="308"/>
      <c r="I25" s="308"/>
      <c r="J25" s="254" t="s">
        <v>316</v>
      </c>
      <c r="K25" s="296">
        <v>833634.7</v>
      </c>
      <c r="L25" s="295">
        <v>2329211.0699999998</v>
      </c>
      <c r="M25" s="268">
        <v>0.7</v>
      </c>
      <c r="N25" s="325"/>
      <c r="O25" s="325"/>
      <c r="P25" s="325"/>
      <c r="Q25" s="325"/>
      <c r="R25" s="325"/>
      <c r="S25" s="325"/>
    </row>
    <row r="26" spans="1:19" ht="36" x14ac:dyDescent="0.25">
      <c r="A26" s="305"/>
      <c r="B26" s="292" t="s">
        <v>321</v>
      </c>
      <c r="C26" s="288">
        <v>10</v>
      </c>
      <c r="D26" s="288">
        <v>30</v>
      </c>
      <c r="E26" s="306"/>
      <c r="F26" s="306"/>
      <c r="G26" s="307"/>
      <c r="H26" s="308"/>
      <c r="I26" s="308"/>
      <c r="J26" s="254" t="s">
        <v>314</v>
      </c>
      <c r="K26" s="296">
        <v>5180061.6100000003</v>
      </c>
      <c r="L26" s="295">
        <v>11919199.82</v>
      </c>
      <c r="M26" s="268">
        <v>0.85</v>
      </c>
      <c r="N26" s="325"/>
      <c r="O26" s="325"/>
      <c r="P26" s="325"/>
      <c r="Q26" s="325"/>
      <c r="R26" s="325"/>
      <c r="S26" s="325"/>
    </row>
    <row r="27" spans="1:19" s="338" customFormat="1" ht="133.5" customHeight="1" x14ac:dyDescent="0.25">
      <c r="A27" s="286" t="s">
        <v>413</v>
      </c>
      <c r="B27" s="260" t="s">
        <v>321</v>
      </c>
      <c r="C27" s="391">
        <v>20</v>
      </c>
      <c r="D27" s="391">
        <v>40</v>
      </c>
      <c r="E27" s="234" t="s">
        <v>497</v>
      </c>
      <c r="F27" s="349" t="s">
        <v>488</v>
      </c>
      <c r="G27" s="262" t="s">
        <v>347</v>
      </c>
      <c r="H27" s="234" t="s">
        <v>487</v>
      </c>
      <c r="I27" s="234" t="s">
        <v>439</v>
      </c>
      <c r="J27" s="253">
        <v>180</v>
      </c>
      <c r="K27" s="238">
        <v>6013696.3099999996</v>
      </c>
      <c r="L27" s="238">
        <v>14248410.890000001</v>
      </c>
      <c r="M27" s="267"/>
      <c r="N27" s="325">
        <v>8</v>
      </c>
      <c r="O27" s="325"/>
      <c r="P27" s="325"/>
      <c r="Q27" s="325"/>
      <c r="R27" s="325"/>
      <c r="S27" s="325"/>
    </row>
    <row r="28" spans="1:19" x14ac:dyDescent="0.25">
      <c r="A28" s="305"/>
      <c r="B28" s="292" t="s">
        <v>321</v>
      </c>
      <c r="C28" s="288">
        <v>20</v>
      </c>
      <c r="D28" s="288">
        <v>40</v>
      </c>
      <c r="E28" s="306"/>
      <c r="F28" s="306"/>
      <c r="G28" s="307"/>
      <c r="H28" s="308"/>
      <c r="I28" s="308"/>
      <c r="J28" s="254" t="s">
        <v>316</v>
      </c>
      <c r="K28" s="296">
        <v>833634.7</v>
      </c>
      <c r="L28" s="295">
        <v>2329211.0699999998</v>
      </c>
      <c r="M28" s="268">
        <v>0.7</v>
      </c>
      <c r="N28" s="325"/>
      <c r="O28" s="325"/>
      <c r="P28" s="325"/>
      <c r="Q28" s="325"/>
      <c r="R28" s="325"/>
      <c r="S28" s="325"/>
    </row>
    <row r="29" spans="1:19" ht="36" x14ac:dyDescent="0.25">
      <c r="A29" s="305"/>
      <c r="B29" s="292" t="s">
        <v>321</v>
      </c>
      <c r="C29" s="288">
        <v>20</v>
      </c>
      <c r="D29" s="288">
        <v>40</v>
      </c>
      <c r="E29" s="306"/>
      <c r="F29" s="306"/>
      <c r="G29" s="307"/>
      <c r="H29" s="308"/>
      <c r="I29" s="308"/>
      <c r="J29" s="254" t="s">
        <v>314</v>
      </c>
      <c r="K29" s="296">
        <v>5180061.6100000003</v>
      </c>
      <c r="L29" s="295">
        <v>11919199.82</v>
      </c>
      <c r="M29" s="268">
        <v>0.85</v>
      </c>
      <c r="N29" s="325"/>
      <c r="O29" s="325"/>
      <c r="P29" s="325"/>
      <c r="Q29" s="325"/>
      <c r="R29" s="325"/>
      <c r="S29" s="325"/>
    </row>
    <row r="30" spans="1:19" s="339" customFormat="1" ht="338.25" customHeight="1" x14ac:dyDescent="0.25">
      <c r="A30" s="270" t="s">
        <v>468</v>
      </c>
      <c r="B30" s="260" t="s">
        <v>326</v>
      </c>
      <c r="C30" s="389">
        <f>'Подробно разпределение '!P12</f>
        <v>308.81</v>
      </c>
      <c r="D30" s="389">
        <f>'Подробно разпределение '!AD12</f>
        <v>308.81</v>
      </c>
      <c r="E30" s="234" t="s">
        <v>469</v>
      </c>
      <c r="F30" s="234" t="s">
        <v>504</v>
      </c>
      <c r="G30" s="262" t="s">
        <v>347</v>
      </c>
      <c r="H30" s="234" t="s">
        <v>393</v>
      </c>
      <c r="I30" s="234" t="s">
        <v>394</v>
      </c>
      <c r="J30" s="253">
        <v>180</v>
      </c>
      <c r="K30" s="351">
        <v>16930689.440000001</v>
      </c>
      <c r="L30" s="351">
        <v>40114333.719999999</v>
      </c>
      <c r="M30" s="269"/>
      <c r="N30" s="325">
        <v>27</v>
      </c>
      <c r="O30" s="325">
        <v>46</v>
      </c>
      <c r="P30" s="325">
        <v>46</v>
      </c>
      <c r="Q30" s="325">
        <v>46</v>
      </c>
      <c r="R30" s="325">
        <v>26</v>
      </c>
      <c r="S30" s="325">
        <v>65</v>
      </c>
    </row>
    <row r="31" spans="1:19" x14ac:dyDescent="0.25">
      <c r="A31" s="305"/>
      <c r="B31" s="291" t="s">
        <v>326</v>
      </c>
      <c r="C31" s="344">
        <f>ROUND(C30/6,0)</f>
        <v>51</v>
      </c>
      <c r="D31" s="344">
        <f>ROUND(D30/6,0)</f>
        <v>51</v>
      </c>
      <c r="E31" s="306"/>
      <c r="F31" s="306"/>
      <c r="G31" s="307"/>
      <c r="H31" s="308"/>
      <c r="I31" s="308"/>
      <c r="J31" s="254" t="s">
        <v>316</v>
      </c>
      <c r="K31" s="295">
        <v>2346977.54</v>
      </c>
      <c r="L31" s="295">
        <v>6557555.8399999999</v>
      </c>
      <c r="M31" s="268">
        <v>0.7</v>
      </c>
      <c r="N31" s="325"/>
      <c r="O31" s="325"/>
      <c r="P31" s="325"/>
      <c r="Q31" s="325"/>
      <c r="R31" s="325"/>
      <c r="S31" s="325"/>
    </row>
    <row r="32" spans="1:19" ht="36" x14ac:dyDescent="0.25">
      <c r="A32" s="305"/>
      <c r="B32" s="291" t="s">
        <v>326</v>
      </c>
      <c r="C32" s="344">
        <f>C30-C31</f>
        <v>257.81</v>
      </c>
      <c r="D32" s="344">
        <f>D30-D31</f>
        <v>257.81</v>
      </c>
      <c r="E32" s="306"/>
      <c r="F32" s="306"/>
      <c r="G32" s="307"/>
      <c r="H32" s="308"/>
      <c r="I32" s="308"/>
      <c r="J32" s="254" t="s">
        <v>314</v>
      </c>
      <c r="K32" s="295">
        <v>14583711.9</v>
      </c>
      <c r="L32" s="295">
        <v>33556777.880000003</v>
      </c>
      <c r="M32" s="268">
        <v>0.85</v>
      </c>
      <c r="N32" s="325"/>
      <c r="O32" s="325"/>
      <c r="P32" s="325"/>
      <c r="Q32" s="325"/>
      <c r="R32" s="325"/>
      <c r="S32" s="325"/>
    </row>
    <row r="33" spans="1:19" ht="206.25" customHeight="1" x14ac:dyDescent="0.25">
      <c r="A33" s="270" t="s">
        <v>374</v>
      </c>
      <c r="B33" s="260" t="s">
        <v>326</v>
      </c>
      <c r="C33" s="261">
        <f>'Подробно разпределение '!P13</f>
        <v>35</v>
      </c>
      <c r="D33" s="261">
        <f>'Подробно разпределение '!AD13</f>
        <v>94</v>
      </c>
      <c r="E33" s="234" t="s">
        <v>498</v>
      </c>
      <c r="F33" s="234" t="s">
        <v>509</v>
      </c>
      <c r="G33" s="262" t="s">
        <v>323</v>
      </c>
      <c r="H33" s="234" t="s">
        <v>470</v>
      </c>
      <c r="I33" s="234" t="s">
        <v>471</v>
      </c>
      <c r="J33" s="253">
        <v>182</v>
      </c>
      <c r="K33" s="297">
        <v>4105664.3899999997</v>
      </c>
      <c r="L33" s="238">
        <v>9727660.0199999996</v>
      </c>
      <c r="M33" s="267"/>
      <c r="N33" s="325">
        <v>3</v>
      </c>
      <c r="O33" s="325">
        <v>8</v>
      </c>
      <c r="P33" s="325">
        <v>8</v>
      </c>
      <c r="Q33" s="325">
        <v>8</v>
      </c>
      <c r="R33" s="325">
        <v>8</v>
      </c>
      <c r="S33" s="325"/>
    </row>
    <row r="34" spans="1:19" x14ac:dyDescent="0.25">
      <c r="A34" s="305"/>
      <c r="B34" s="291" t="s">
        <v>326</v>
      </c>
      <c r="C34" s="288">
        <f>ROUND(C33/6,0)</f>
        <v>6</v>
      </c>
      <c r="D34" s="288">
        <f>ROUND(D33/6,0)</f>
        <v>16</v>
      </c>
      <c r="E34" s="306"/>
      <c r="F34" s="306"/>
      <c r="G34" s="307"/>
      <c r="H34" s="308"/>
      <c r="I34" s="308"/>
      <c r="J34" s="254" t="s">
        <v>316</v>
      </c>
      <c r="K34" s="296">
        <v>569138.19999999995</v>
      </c>
      <c r="L34" s="295">
        <v>1590196.52</v>
      </c>
      <c r="M34" s="268">
        <v>0.7</v>
      </c>
      <c r="N34" s="325"/>
      <c r="O34" s="325"/>
      <c r="P34" s="325"/>
      <c r="Q34" s="325"/>
      <c r="R34" s="325"/>
      <c r="S34" s="325"/>
    </row>
    <row r="35" spans="1:19" ht="36" x14ac:dyDescent="0.25">
      <c r="A35" s="305"/>
      <c r="B35" s="291" t="s">
        <v>326</v>
      </c>
      <c r="C35" s="288">
        <f>C33-C34</f>
        <v>29</v>
      </c>
      <c r="D35" s="288">
        <f>D33-D34</f>
        <v>78</v>
      </c>
      <c r="E35" s="306"/>
      <c r="F35" s="306"/>
      <c r="G35" s="307"/>
      <c r="H35" s="308"/>
      <c r="I35" s="308"/>
      <c r="J35" s="254" t="s">
        <v>314</v>
      </c>
      <c r="K35" s="296">
        <v>3536526.19</v>
      </c>
      <c r="L35" s="295">
        <v>8137463.5</v>
      </c>
      <c r="M35" s="268">
        <v>0.85</v>
      </c>
      <c r="N35" s="325"/>
      <c r="O35" s="325"/>
      <c r="P35" s="325"/>
      <c r="Q35" s="325"/>
      <c r="R35" s="325"/>
      <c r="S35" s="325"/>
    </row>
    <row r="36" spans="1:19" ht="206.25" customHeight="1" x14ac:dyDescent="0.25">
      <c r="A36" s="270" t="s">
        <v>440</v>
      </c>
      <c r="B36" s="260" t="s">
        <v>326</v>
      </c>
      <c r="C36" s="261">
        <f>'Подробно разпределение '!P14</f>
        <v>10579.463000000003</v>
      </c>
      <c r="D36" s="261">
        <f>'Подробно разпределение '!AD14</f>
        <v>19517.543333333335</v>
      </c>
      <c r="E36" s="234" t="s">
        <v>441</v>
      </c>
      <c r="F36" s="234" t="s">
        <v>472</v>
      </c>
      <c r="G36" s="262" t="s">
        <v>323</v>
      </c>
      <c r="H36" s="234" t="s">
        <v>448</v>
      </c>
      <c r="I36" s="234" t="s">
        <v>447</v>
      </c>
      <c r="J36" s="253">
        <v>182</v>
      </c>
      <c r="K36" s="297">
        <v>6348869.8300000001</v>
      </c>
      <c r="L36" s="238">
        <v>15042546.49</v>
      </c>
      <c r="M36" s="267"/>
      <c r="N36" s="325">
        <v>3</v>
      </c>
      <c r="O36" s="325">
        <v>8</v>
      </c>
      <c r="P36" s="325">
        <v>8</v>
      </c>
      <c r="Q36" s="325">
        <v>8</v>
      </c>
      <c r="R36" s="325">
        <v>8</v>
      </c>
      <c r="S36" s="325"/>
    </row>
    <row r="37" spans="1:19" x14ac:dyDescent="0.25">
      <c r="A37" s="305"/>
      <c r="B37" s="291" t="s">
        <v>326</v>
      </c>
      <c r="C37" s="288">
        <f>ROUND(C36/6,0)</f>
        <v>1763</v>
      </c>
      <c r="D37" s="288">
        <f>ROUND(D36/6,0)</f>
        <v>3253</v>
      </c>
      <c r="E37" s="306"/>
      <c r="F37" s="306"/>
      <c r="G37" s="307"/>
      <c r="H37" s="308"/>
      <c r="I37" s="308"/>
      <c r="J37" s="254" t="s">
        <v>316</v>
      </c>
      <c r="K37" s="296">
        <v>880097.35</v>
      </c>
      <c r="L37" s="295">
        <v>2459029.71</v>
      </c>
      <c r="M37" s="268">
        <v>0.7</v>
      </c>
      <c r="N37" s="325"/>
      <c r="O37" s="325"/>
      <c r="P37" s="325"/>
      <c r="Q37" s="325"/>
      <c r="R37" s="325"/>
      <c r="S37" s="325"/>
    </row>
    <row r="38" spans="1:19" ht="36" x14ac:dyDescent="0.25">
      <c r="A38" s="305"/>
      <c r="B38" s="291" t="s">
        <v>326</v>
      </c>
      <c r="C38" s="288">
        <f>C36-C37</f>
        <v>8816.4630000000034</v>
      </c>
      <c r="D38" s="288">
        <f>D36-D37</f>
        <v>16264.543333333335</v>
      </c>
      <c r="E38" s="306"/>
      <c r="F38" s="306"/>
      <c r="G38" s="307"/>
      <c r="H38" s="308"/>
      <c r="I38" s="308"/>
      <c r="J38" s="254" t="s">
        <v>314</v>
      </c>
      <c r="K38" s="296">
        <v>5468772.4800000004</v>
      </c>
      <c r="L38" s="295">
        <v>12583516.779999999</v>
      </c>
      <c r="M38" s="268">
        <v>0.85</v>
      </c>
      <c r="N38" s="325"/>
      <c r="O38" s="325"/>
      <c r="P38" s="325"/>
      <c r="Q38" s="325"/>
      <c r="R38" s="325"/>
      <c r="S38" s="325"/>
    </row>
    <row r="39" spans="1:19" ht="195" customHeight="1" x14ac:dyDescent="0.25">
      <c r="A39" s="270" t="s">
        <v>375</v>
      </c>
      <c r="B39" s="260" t="s">
        <v>321</v>
      </c>
      <c r="C39" s="261">
        <f>'Подробно разпределение '!P15</f>
        <v>70</v>
      </c>
      <c r="D39" s="261">
        <f>'Подробно разпределение '!AD15</f>
        <v>80</v>
      </c>
      <c r="E39" s="234" t="s">
        <v>395</v>
      </c>
      <c r="F39" s="236" t="s">
        <v>458</v>
      </c>
      <c r="G39" s="262" t="s">
        <v>323</v>
      </c>
      <c r="H39" s="234" t="s">
        <v>396</v>
      </c>
      <c r="I39" s="234" t="s">
        <v>397</v>
      </c>
      <c r="J39" s="253">
        <v>182</v>
      </c>
      <c r="K39" s="297">
        <v>4158565.77</v>
      </c>
      <c r="L39" s="238">
        <v>9853000.7200000007</v>
      </c>
      <c r="M39" s="267"/>
      <c r="N39" s="325">
        <v>3</v>
      </c>
      <c r="O39" s="325">
        <v>8</v>
      </c>
      <c r="P39" s="325">
        <v>8</v>
      </c>
      <c r="Q39" s="325">
        <v>8</v>
      </c>
      <c r="R39" s="325">
        <v>8</v>
      </c>
      <c r="S39" s="325"/>
    </row>
    <row r="40" spans="1:19" x14ac:dyDescent="0.25">
      <c r="A40" s="305"/>
      <c r="B40" s="292" t="s">
        <v>321</v>
      </c>
      <c r="C40" s="288">
        <v>70</v>
      </c>
      <c r="D40" s="288">
        <v>80</v>
      </c>
      <c r="E40" s="306"/>
      <c r="F40" s="306"/>
      <c r="G40" s="307"/>
      <c r="H40" s="308"/>
      <c r="I40" s="308"/>
      <c r="J40" s="254" t="s">
        <v>316</v>
      </c>
      <c r="K40" s="296">
        <v>576471.53</v>
      </c>
      <c r="L40" s="295">
        <v>1610686.17</v>
      </c>
      <c r="M40" s="268">
        <v>0.7</v>
      </c>
      <c r="N40" s="325"/>
      <c r="O40" s="325"/>
      <c r="P40" s="325"/>
      <c r="Q40" s="325"/>
      <c r="R40" s="325"/>
      <c r="S40" s="325"/>
    </row>
    <row r="41" spans="1:19" ht="36" x14ac:dyDescent="0.25">
      <c r="A41" s="305"/>
      <c r="B41" s="292" t="s">
        <v>321</v>
      </c>
      <c r="C41" s="288">
        <v>70</v>
      </c>
      <c r="D41" s="288">
        <v>80</v>
      </c>
      <c r="E41" s="306"/>
      <c r="F41" s="306"/>
      <c r="G41" s="307"/>
      <c r="H41" s="308"/>
      <c r="I41" s="308"/>
      <c r="J41" s="254" t="s">
        <v>314</v>
      </c>
      <c r="K41" s="296">
        <v>3582094.24</v>
      </c>
      <c r="L41" s="295">
        <v>8242314.5499999998</v>
      </c>
      <c r="M41" s="268">
        <v>0.85</v>
      </c>
      <c r="N41" s="325"/>
      <c r="O41" s="325"/>
      <c r="P41" s="325"/>
      <c r="Q41" s="325"/>
      <c r="R41" s="325"/>
      <c r="S41" s="325"/>
    </row>
    <row r="42" spans="1:19" s="337" customFormat="1" ht="117" customHeight="1" x14ac:dyDescent="0.25">
      <c r="A42" s="348" t="s">
        <v>423</v>
      </c>
      <c r="B42" s="345" t="s">
        <v>326</v>
      </c>
      <c r="C42" s="391">
        <f>'Подробно разпределение '!P16</f>
        <v>45</v>
      </c>
      <c r="D42" s="391">
        <f>'Подробно разпределение '!AD16</f>
        <v>160</v>
      </c>
      <c r="E42" s="346" t="s">
        <v>425</v>
      </c>
      <c r="F42" s="349" t="s">
        <v>459</v>
      </c>
      <c r="G42" s="345" t="s">
        <v>336</v>
      </c>
      <c r="H42" s="349" t="s">
        <v>426</v>
      </c>
      <c r="I42" s="346" t="s">
        <v>442</v>
      </c>
      <c r="J42" s="253">
        <v>182</v>
      </c>
      <c r="K42" s="297">
        <v>3095076.88</v>
      </c>
      <c r="L42" s="297">
        <v>7333248.1200000001</v>
      </c>
      <c r="M42" s="267"/>
      <c r="N42" s="350"/>
      <c r="O42" s="350"/>
      <c r="P42" s="350"/>
      <c r="Q42" s="350"/>
      <c r="R42" s="350"/>
      <c r="S42" s="350">
        <v>5</v>
      </c>
    </row>
    <row r="43" spans="1:19" x14ac:dyDescent="0.25">
      <c r="A43" s="291"/>
      <c r="B43" s="347" t="s">
        <v>326</v>
      </c>
      <c r="C43" s="344">
        <f>ROUND(C42/6,0)</f>
        <v>8</v>
      </c>
      <c r="D43" s="344">
        <f>ROUND(D42/6,0)</f>
        <v>27</v>
      </c>
      <c r="E43" s="306"/>
      <c r="F43" s="306"/>
      <c r="G43" s="307"/>
      <c r="H43" s="308"/>
      <c r="I43" s="308"/>
      <c r="J43" s="254" t="s">
        <v>316</v>
      </c>
      <c r="K43" s="295">
        <v>429047.85</v>
      </c>
      <c r="L43" s="296">
        <v>1198778.08</v>
      </c>
      <c r="M43" s="268">
        <v>0.7</v>
      </c>
      <c r="N43" s="325"/>
      <c r="O43" s="325"/>
      <c r="P43" s="325"/>
      <c r="Q43" s="325"/>
      <c r="R43" s="325"/>
      <c r="S43" s="325"/>
    </row>
    <row r="44" spans="1:19" ht="36" x14ac:dyDescent="0.25">
      <c r="A44" s="291"/>
      <c r="B44" s="347" t="s">
        <v>326</v>
      </c>
      <c r="C44" s="344">
        <f>C42-C43</f>
        <v>37</v>
      </c>
      <c r="D44" s="344">
        <f>D42-D43</f>
        <v>133</v>
      </c>
      <c r="E44" s="306"/>
      <c r="F44" s="306"/>
      <c r="G44" s="307"/>
      <c r="H44" s="308"/>
      <c r="I44" s="308"/>
      <c r="J44" s="254" t="s">
        <v>314</v>
      </c>
      <c r="K44" s="295">
        <v>2666029.0299999998</v>
      </c>
      <c r="L44" s="296">
        <v>6134470.04</v>
      </c>
      <c r="M44" s="268">
        <v>0.85</v>
      </c>
      <c r="N44" s="325"/>
      <c r="O44" s="325"/>
      <c r="P44" s="325"/>
      <c r="Q44" s="325"/>
      <c r="R44" s="325"/>
      <c r="S44" s="325"/>
    </row>
    <row r="45" spans="1:19" s="337" customFormat="1" ht="138" customHeight="1" x14ac:dyDescent="0.25">
      <c r="A45" s="348" t="s">
        <v>424</v>
      </c>
      <c r="B45" s="345" t="s">
        <v>326</v>
      </c>
      <c r="C45" s="391">
        <f>'Подробно разпределение '!P17</f>
        <v>0</v>
      </c>
      <c r="D45" s="391">
        <f>'Подробно разпределение '!AD17</f>
        <v>60</v>
      </c>
      <c r="E45" s="346" t="s">
        <v>427</v>
      </c>
      <c r="F45" s="349" t="s">
        <v>460</v>
      </c>
      <c r="G45" s="345" t="s">
        <v>336</v>
      </c>
      <c r="H45" s="349" t="s">
        <v>473</v>
      </c>
      <c r="I45" s="346" t="s">
        <v>428</v>
      </c>
      <c r="J45" s="253">
        <v>182</v>
      </c>
      <c r="K45" s="297">
        <v>2363504.75</v>
      </c>
      <c r="L45" s="297">
        <v>5599914.7800000003</v>
      </c>
      <c r="M45" s="267"/>
      <c r="N45" s="350"/>
      <c r="O45" s="350"/>
      <c r="P45" s="350"/>
      <c r="Q45" s="350"/>
      <c r="R45" s="350"/>
      <c r="S45" s="350">
        <v>5</v>
      </c>
    </row>
    <row r="46" spans="1:19" x14ac:dyDescent="0.25">
      <c r="A46" s="291"/>
      <c r="B46" s="347" t="s">
        <v>326</v>
      </c>
      <c r="C46" s="344">
        <f>ROUND(C45/6,0)</f>
        <v>0</v>
      </c>
      <c r="D46" s="344">
        <f>ROUND(D45/6,0)</f>
        <v>10</v>
      </c>
      <c r="E46" s="306"/>
      <c r="F46" s="306"/>
      <c r="G46" s="307"/>
      <c r="H46" s="308"/>
      <c r="I46" s="308"/>
      <c r="J46" s="254" t="s">
        <v>316</v>
      </c>
      <c r="K46" s="295">
        <v>327635.36</v>
      </c>
      <c r="L46" s="296">
        <v>915427.24</v>
      </c>
      <c r="M46" s="268">
        <v>0.7</v>
      </c>
      <c r="N46" s="325"/>
      <c r="O46" s="325"/>
      <c r="P46" s="325"/>
      <c r="Q46" s="325"/>
      <c r="R46" s="325"/>
      <c r="S46" s="325"/>
    </row>
    <row r="47" spans="1:19" ht="36" x14ac:dyDescent="0.25">
      <c r="A47" s="291"/>
      <c r="B47" s="347" t="s">
        <v>326</v>
      </c>
      <c r="C47" s="344">
        <f>C45-C46</f>
        <v>0</v>
      </c>
      <c r="D47" s="344">
        <f>D45-D46</f>
        <v>50</v>
      </c>
      <c r="E47" s="306"/>
      <c r="F47" s="306"/>
      <c r="G47" s="307"/>
      <c r="H47" s="308"/>
      <c r="I47" s="308"/>
      <c r="J47" s="254" t="s">
        <v>314</v>
      </c>
      <c r="K47" s="295">
        <v>2035869.39</v>
      </c>
      <c r="L47" s="296">
        <v>4684487.54</v>
      </c>
      <c r="M47" s="268">
        <v>0.85</v>
      </c>
      <c r="N47" s="325"/>
      <c r="O47" s="325"/>
      <c r="P47" s="325"/>
      <c r="Q47" s="325"/>
      <c r="R47" s="325"/>
      <c r="S47" s="325"/>
    </row>
    <row r="48" spans="1:19" ht="182.25" customHeight="1" x14ac:dyDescent="0.25">
      <c r="A48" s="270" t="s">
        <v>376</v>
      </c>
      <c r="B48" s="262" t="s">
        <v>326</v>
      </c>
      <c r="C48" s="390">
        <f>'Подробно разпределение '!P18</f>
        <v>0</v>
      </c>
      <c r="D48" s="390">
        <f>'Подробно разпределение '!AD18</f>
        <v>240</v>
      </c>
      <c r="E48" s="234" t="s">
        <v>478</v>
      </c>
      <c r="F48" s="236" t="s">
        <v>461</v>
      </c>
      <c r="G48" s="262" t="s">
        <v>364</v>
      </c>
      <c r="H48" s="236" t="s">
        <v>479</v>
      </c>
      <c r="I48" s="234" t="s">
        <v>399</v>
      </c>
      <c r="J48" s="253">
        <v>181</v>
      </c>
      <c r="K48" s="297">
        <v>5458581.6100000003</v>
      </c>
      <c r="L48" s="238">
        <v>12933162.9</v>
      </c>
      <c r="M48" s="267"/>
      <c r="N48" s="325"/>
      <c r="O48" s="325"/>
      <c r="P48" s="325"/>
      <c r="Q48" s="325"/>
      <c r="R48" s="325"/>
      <c r="S48" s="325">
        <v>10</v>
      </c>
    </row>
    <row r="49" spans="1:19" x14ac:dyDescent="0.25">
      <c r="A49" s="291"/>
      <c r="B49" s="291" t="s">
        <v>326</v>
      </c>
      <c r="C49" s="288">
        <f>ROUND(C48/6,0)</f>
        <v>0</v>
      </c>
      <c r="D49" s="288">
        <f>ROUND(D48/6,0)</f>
        <v>40</v>
      </c>
      <c r="E49" s="306"/>
      <c r="F49" s="306"/>
      <c r="G49" s="307"/>
      <c r="H49" s="308"/>
      <c r="I49" s="308"/>
      <c r="J49" s="254" t="s">
        <v>316</v>
      </c>
      <c r="K49" s="295">
        <v>756683.21</v>
      </c>
      <c r="L49" s="295">
        <v>2114205.3199999998</v>
      </c>
      <c r="M49" s="268">
        <v>0.7</v>
      </c>
      <c r="N49" s="325"/>
      <c r="O49" s="325"/>
      <c r="P49" s="325"/>
      <c r="Q49" s="325"/>
      <c r="R49" s="325"/>
      <c r="S49" s="325"/>
    </row>
    <row r="50" spans="1:19" ht="36" x14ac:dyDescent="0.25">
      <c r="A50" s="291"/>
      <c r="B50" s="291" t="s">
        <v>326</v>
      </c>
      <c r="C50" s="288">
        <f>C48-C49</f>
        <v>0</v>
      </c>
      <c r="D50" s="288">
        <f>D48-D49</f>
        <v>200</v>
      </c>
      <c r="E50" s="306"/>
      <c r="F50" s="306"/>
      <c r="G50" s="307"/>
      <c r="H50" s="308"/>
      <c r="I50" s="308"/>
      <c r="J50" s="254" t="s">
        <v>314</v>
      </c>
      <c r="K50" s="295">
        <v>4701898.4000000004</v>
      </c>
      <c r="L50" s="295">
        <v>10818957.58</v>
      </c>
      <c r="M50" s="268">
        <v>0.85</v>
      </c>
      <c r="N50" s="325"/>
      <c r="O50" s="325"/>
      <c r="P50" s="325"/>
      <c r="Q50" s="325"/>
      <c r="R50" s="325"/>
      <c r="S50" s="325"/>
    </row>
    <row r="51" spans="1:19" ht="114" customHeight="1" x14ac:dyDescent="0.25">
      <c r="A51" s="270" t="s">
        <v>388</v>
      </c>
      <c r="B51" s="262" t="s">
        <v>326</v>
      </c>
      <c r="C51" s="390">
        <f>'Подробно разпределение '!P19</f>
        <v>0</v>
      </c>
      <c r="D51" s="390">
        <f>'Подробно разпределение '!AD19</f>
        <v>140</v>
      </c>
      <c r="E51" s="234" t="s">
        <v>400</v>
      </c>
      <c r="F51" s="236" t="s">
        <v>462</v>
      </c>
      <c r="G51" s="262" t="s">
        <v>364</v>
      </c>
      <c r="H51" s="237" t="s">
        <v>474</v>
      </c>
      <c r="I51" s="234" t="s">
        <v>446</v>
      </c>
      <c r="J51" s="253">
        <v>179</v>
      </c>
      <c r="K51" s="238">
        <v>3348277.41</v>
      </c>
      <c r="L51" s="238">
        <v>7933162.9000000004</v>
      </c>
      <c r="M51" s="267"/>
      <c r="N51" s="325"/>
      <c r="O51" s="325"/>
      <c r="P51" s="325"/>
      <c r="Q51" s="325"/>
      <c r="R51" s="325"/>
      <c r="S51" s="325">
        <v>10</v>
      </c>
    </row>
    <row r="52" spans="1:19" x14ac:dyDescent="0.25">
      <c r="A52" s="305"/>
      <c r="B52" s="291" t="s">
        <v>326</v>
      </c>
      <c r="C52" s="288">
        <f>ROUND(C51/6,0)</f>
        <v>0</v>
      </c>
      <c r="D52" s="288">
        <f>ROUND(D51/6,0)</f>
        <v>23</v>
      </c>
      <c r="E52" s="306"/>
      <c r="F52" s="306"/>
      <c r="G52" s="307"/>
      <c r="H52" s="308"/>
      <c r="I52" s="310"/>
      <c r="J52" s="254" t="s">
        <v>316</v>
      </c>
      <c r="K52" s="295">
        <v>464147.19</v>
      </c>
      <c r="L52" s="295">
        <v>1296847.1299999999</v>
      </c>
      <c r="M52" s="268">
        <v>0.7</v>
      </c>
      <c r="N52" s="325"/>
      <c r="O52" s="325"/>
      <c r="P52" s="325"/>
      <c r="Q52" s="325"/>
      <c r="R52" s="325"/>
      <c r="S52" s="325"/>
    </row>
    <row r="53" spans="1:19" ht="36" x14ac:dyDescent="0.25">
      <c r="A53" s="305"/>
      <c r="B53" s="291" t="s">
        <v>326</v>
      </c>
      <c r="C53" s="288">
        <f>C51-C52</f>
        <v>0</v>
      </c>
      <c r="D53" s="288">
        <f>D51-D52</f>
        <v>117</v>
      </c>
      <c r="E53" s="306"/>
      <c r="F53" s="306"/>
      <c r="G53" s="307"/>
      <c r="H53" s="308"/>
      <c r="I53" s="310"/>
      <c r="J53" s="254" t="s">
        <v>314</v>
      </c>
      <c r="K53" s="295">
        <v>2884130.22</v>
      </c>
      <c r="L53" s="295">
        <v>6636315.7699999996</v>
      </c>
      <c r="M53" s="268">
        <v>0.85</v>
      </c>
      <c r="N53" s="325"/>
      <c r="O53" s="325"/>
      <c r="P53" s="325"/>
      <c r="Q53" s="325"/>
      <c r="R53" s="325"/>
      <c r="S53" s="325"/>
    </row>
    <row r="54" spans="1:19" ht="134.25" customHeight="1" x14ac:dyDescent="0.25">
      <c r="A54" s="348" t="s">
        <v>450</v>
      </c>
      <c r="B54" s="345" t="s">
        <v>326</v>
      </c>
      <c r="C54" s="392">
        <f>'Подробно разпределение '!P20</f>
        <v>0</v>
      </c>
      <c r="D54" s="392">
        <f>'Подробно разпределение '!AD20</f>
        <v>8</v>
      </c>
      <c r="E54" s="346" t="s">
        <v>480</v>
      </c>
      <c r="F54" s="349" t="s">
        <v>502</v>
      </c>
      <c r="G54" s="345" t="s">
        <v>364</v>
      </c>
      <c r="H54" s="384" t="s">
        <v>475</v>
      </c>
      <c r="I54" s="346" t="s">
        <v>464</v>
      </c>
      <c r="J54" s="385">
        <v>181</v>
      </c>
      <c r="K54" s="393">
        <v>337648.68</v>
      </c>
      <c r="L54" s="393">
        <v>800000</v>
      </c>
      <c r="M54" s="267"/>
      <c r="N54" s="325"/>
      <c r="O54" s="325"/>
      <c r="P54" s="325"/>
      <c r="Q54" s="325"/>
      <c r="R54" s="325"/>
      <c r="S54" s="325"/>
    </row>
    <row r="55" spans="1:19" x14ac:dyDescent="0.25">
      <c r="A55" s="305"/>
      <c r="B55" s="291" t="s">
        <v>326</v>
      </c>
      <c r="C55" s="288">
        <f>ROUND(C54/6,0)</f>
        <v>0</v>
      </c>
      <c r="D55" s="288">
        <f>ROUND(D54/6,0)</f>
        <v>1</v>
      </c>
      <c r="E55" s="306"/>
      <c r="F55" s="306"/>
      <c r="G55" s="307"/>
      <c r="H55" s="308"/>
      <c r="I55" s="310"/>
      <c r="J55" s="254" t="s">
        <v>316</v>
      </c>
      <c r="K55" s="295">
        <v>46805.760000000002</v>
      </c>
      <c r="L55" s="295">
        <v>130777.31000000006</v>
      </c>
      <c r="M55" s="268"/>
      <c r="N55" s="325"/>
      <c r="O55" s="325"/>
      <c r="P55" s="325"/>
      <c r="Q55" s="325"/>
      <c r="R55" s="325"/>
      <c r="S55" s="325"/>
    </row>
    <row r="56" spans="1:19" ht="36" x14ac:dyDescent="0.25">
      <c r="A56" s="305"/>
      <c r="B56" s="291" t="s">
        <v>326</v>
      </c>
      <c r="C56" s="288">
        <f>C54-C55</f>
        <v>0</v>
      </c>
      <c r="D56" s="288">
        <f>D54-D55</f>
        <v>7</v>
      </c>
      <c r="E56" s="306"/>
      <c r="F56" s="306"/>
      <c r="G56" s="307"/>
      <c r="H56" s="308"/>
      <c r="I56" s="310"/>
      <c r="J56" s="254" t="s">
        <v>314</v>
      </c>
      <c r="K56" s="295">
        <v>290842.92</v>
      </c>
      <c r="L56" s="295">
        <v>669222.68999999994</v>
      </c>
      <c r="M56" s="268"/>
      <c r="N56" s="325"/>
      <c r="O56" s="325"/>
      <c r="P56" s="325"/>
      <c r="Q56" s="325"/>
      <c r="R56" s="325"/>
      <c r="S56" s="325"/>
    </row>
    <row r="57" spans="1:19" s="343" customFormat="1" ht="290.25" customHeight="1" x14ac:dyDescent="0.25">
      <c r="A57" s="286" t="s">
        <v>476</v>
      </c>
      <c r="B57" s="260" t="s">
        <v>326</v>
      </c>
      <c r="C57" s="285">
        <f>'Подробно разпределение '!P21</f>
        <v>334</v>
      </c>
      <c r="D57" s="285">
        <f>'Подробно разпределение '!AD21</f>
        <v>2348</v>
      </c>
      <c r="E57" s="234" t="s">
        <v>493</v>
      </c>
      <c r="F57" s="234" t="s">
        <v>489</v>
      </c>
      <c r="G57" s="262" t="s">
        <v>373</v>
      </c>
      <c r="H57" s="234" t="s">
        <v>490</v>
      </c>
      <c r="I57" s="234" t="s">
        <v>401</v>
      </c>
      <c r="J57" s="377">
        <v>179</v>
      </c>
      <c r="K57" s="378">
        <v>4720310.8899999997</v>
      </c>
      <c r="L57" s="378">
        <v>11183958.390000001</v>
      </c>
      <c r="M57" s="379"/>
      <c r="N57" s="383">
        <v>5</v>
      </c>
      <c r="O57" s="383"/>
      <c r="P57" s="383"/>
      <c r="Q57" s="383"/>
      <c r="R57" s="383"/>
      <c r="S57" s="383">
        <v>1.25</v>
      </c>
    </row>
    <row r="58" spans="1:19" s="343" customFormat="1" x14ac:dyDescent="0.25">
      <c r="A58" s="305"/>
      <c r="B58" s="291" t="s">
        <v>326</v>
      </c>
      <c r="C58" s="288">
        <f>ROUND(4*C57/27,0)</f>
        <v>49</v>
      </c>
      <c r="D58" s="288">
        <f>ROUND(4*D57/27,0)</f>
        <v>348</v>
      </c>
      <c r="E58" s="306"/>
      <c r="F58" s="306"/>
      <c r="G58" s="307"/>
      <c r="H58" s="308"/>
      <c r="I58" s="308"/>
      <c r="J58" s="377" t="s">
        <v>316</v>
      </c>
      <c r="K58" s="380">
        <v>654342.15</v>
      </c>
      <c r="L58" s="381">
        <v>1828260</v>
      </c>
      <c r="M58" s="382">
        <v>0.7</v>
      </c>
      <c r="N58" s="383"/>
      <c r="O58" s="383"/>
      <c r="P58" s="383"/>
      <c r="Q58" s="383"/>
      <c r="R58" s="383"/>
      <c r="S58" s="383"/>
    </row>
    <row r="59" spans="1:19" s="343" customFormat="1" ht="24" customHeight="1" x14ac:dyDescent="0.25">
      <c r="A59" s="305"/>
      <c r="B59" s="291" t="s">
        <v>326</v>
      </c>
      <c r="C59" s="288">
        <f>C57-C58</f>
        <v>285</v>
      </c>
      <c r="D59" s="288">
        <f>D57-D58</f>
        <v>2000</v>
      </c>
      <c r="E59" s="306"/>
      <c r="F59" s="306"/>
      <c r="G59" s="307"/>
      <c r="H59" s="308"/>
      <c r="I59" s="308"/>
      <c r="J59" s="377" t="s">
        <v>314</v>
      </c>
      <c r="K59" s="380">
        <v>4065968.74</v>
      </c>
      <c r="L59" s="381">
        <v>9355698.3900000006</v>
      </c>
      <c r="M59" s="382">
        <v>0.85</v>
      </c>
      <c r="N59" s="383"/>
      <c r="O59" s="383"/>
      <c r="P59" s="383"/>
      <c r="Q59" s="383"/>
      <c r="R59" s="383"/>
      <c r="S59" s="383"/>
    </row>
    <row r="60" spans="1:19" ht="113.25" customHeight="1" x14ac:dyDescent="0.25">
      <c r="A60" s="286" t="s">
        <v>417</v>
      </c>
      <c r="B60" s="260" t="s">
        <v>326</v>
      </c>
      <c r="C60" s="285">
        <f>'Подробно разпределение '!P22</f>
        <v>1000000</v>
      </c>
      <c r="D60" s="285">
        <f>'Подробно разпределение '!AD22</f>
        <v>1000000</v>
      </c>
      <c r="E60" s="234" t="s">
        <v>418</v>
      </c>
      <c r="F60" s="235" t="s">
        <v>419</v>
      </c>
      <c r="G60" s="262" t="s">
        <v>373</v>
      </c>
      <c r="H60" s="346" t="s">
        <v>466</v>
      </c>
      <c r="I60" s="234" t="s">
        <v>401</v>
      </c>
      <c r="J60" s="253">
        <v>179</v>
      </c>
      <c r="K60" s="238">
        <v>4198693.6900000004</v>
      </c>
      <c r="L60" s="238">
        <v>9948076.8500000015</v>
      </c>
      <c r="M60" s="267"/>
      <c r="N60" s="325">
        <v>5</v>
      </c>
      <c r="O60" s="325"/>
      <c r="P60" s="325"/>
      <c r="Q60" s="325"/>
      <c r="R60" s="325"/>
      <c r="S60" s="325">
        <v>1.25</v>
      </c>
    </row>
    <row r="61" spans="1:19" x14ac:dyDescent="0.25">
      <c r="A61" s="305"/>
      <c r="B61" s="291" t="s">
        <v>326</v>
      </c>
      <c r="C61" s="288">
        <f>ROUND(4*C60/27,0)</f>
        <v>148148</v>
      </c>
      <c r="D61" s="288">
        <f>ROUND(4*D60/27,0)</f>
        <v>148148</v>
      </c>
      <c r="E61" s="306"/>
      <c r="F61" s="306"/>
      <c r="G61" s="307"/>
      <c r="H61" s="308"/>
      <c r="I61" s="308"/>
      <c r="J61" s="253" t="s">
        <v>316</v>
      </c>
      <c r="K61" s="296">
        <v>582034.17000000004</v>
      </c>
      <c r="L61" s="295">
        <v>1626228.42</v>
      </c>
      <c r="M61" s="268">
        <v>0.7</v>
      </c>
      <c r="N61" s="325"/>
      <c r="O61" s="325"/>
      <c r="P61" s="325"/>
      <c r="Q61" s="325"/>
      <c r="R61" s="325"/>
      <c r="S61" s="325"/>
    </row>
    <row r="62" spans="1:19" ht="36" x14ac:dyDescent="0.25">
      <c r="A62" s="305"/>
      <c r="B62" s="291" t="s">
        <v>326</v>
      </c>
      <c r="C62" s="288">
        <f>C60-C61</f>
        <v>851852</v>
      </c>
      <c r="D62" s="288">
        <f>D60-D61</f>
        <v>851852</v>
      </c>
      <c r="E62" s="306"/>
      <c r="F62" s="306"/>
      <c r="G62" s="307"/>
      <c r="H62" s="308"/>
      <c r="I62" s="308"/>
      <c r="J62" s="253" t="s">
        <v>314</v>
      </c>
      <c r="K62" s="296">
        <v>3616659.52</v>
      </c>
      <c r="L62" s="295">
        <v>8321848.4300000006</v>
      </c>
      <c r="M62" s="268">
        <v>0.85</v>
      </c>
      <c r="N62" s="325"/>
      <c r="O62" s="325"/>
      <c r="P62" s="325"/>
      <c r="Q62" s="325"/>
      <c r="R62" s="325"/>
      <c r="S62" s="325"/>
    </row>
    <row r="63" spans="1:19" ht="102.75" customHeight="1" x14ac:dyDescent="0.25">
      <c r="A63" s="286" t="s">
        <v>389</v>
      </c>
      <c r="B63" s="260" t="s">
        <v>326</v>
      </c>
      <c r="C63" s="285">
        <f>'Подробно разпределение '!P23</f>
        <v>2160000</v>
      </c>
      <c r="D63" s="285">
        <f>'Подробно разпределение '!AD23</f>
        <v>9072000</v>
      </c>
      <c r="E63" s="234" t="s">
        <v>402</v>
      </c>
      <c r="F63" s="236" t="s">
        <v>463</v>
      </c>
      <c r="G63" s="262" t="s">
        <v>373</v>
      </c>
      <c r="H63" s="234" t="s">
        <v>406</v>
      </c>
      <c r="I63" s="234" t="s">
        <v>403</v>
      </c>
      <c r="J63" s="253">
        <v>179</v>
      </c>
      <c r="K63" s="297">
        <v>4198693.6900000004</v>
      </c>
      <c r="L63" s="238">
        <v>9948076.8500000015</v>
      </c>
      <c r="M63" s="267"/>
      <c r="N63" s="325">
        <v>5</v>
      </c>
      <c r="O63" s="325"/>
      <c r="P63" s="325"/>
      <c r="Q63" s="325"/>
      <c r="R63" s="325"/>
      <c r="S63" s="325">
        <v>1.25</v>
      </c>
    </row>
    <row r="64" spans="1:19" x14ac:dyDescent="0.25">
      <c r="A64" s="305"/>
      <c r="B64" s="291" t="s">
        <v>326</v>
      </c>
      <c r="C64" s="288">
        <f>ROUND(4*C63/27,0)</f>
        <v>320000</v>
      </c>
      <c r="D64" s="288">
        <f>ROUND(4*D63/27,0)</f>
        <v>1344000</v>
      </c>
      <c r="E64" s="306"/>
      <c r="F64" s="306"/>
      <c r="G64" s="307"/>
      <c r="H64" s="308"/>
      <c r="I64" s="308"/>
      <c r="J64" s="253" t="s">
        <v>316</v>
      </c>
      <c r="K64" s="296">
        <v>582034.17000000004</v>
      </c>
      <c r="L64" s="295">
        <v>1626228.4182402091</v>
      </c>
      <c r="M64" s="268">
        <v>0.7</v>
      </c>
      <c r="N64" s="325"/>
      <c r="O64" s="325"/>
      <c r="P64" s="325"/>
      <c r="Q64" s="325"/>
      <c r="R64" s="325"/>
      <c r="S64" s="325"/>
    </row>
    <row r="65" spans="1:21" ht="36" x14ac:dyDescent="0.25">
      <c r="A65" s="305"/>
      <c r="B65" s="291" t="s">
        <v>326</v>
      </c>
      <c r="C65" s="288">
        <f>C63-C64</f>
        <v>1840000</v>
      </c>
      <c r="D65" s="288">
        <f>D63-D64</f>
        <v>7728000</v>
      </c>
      <c r="E65" s="306"/>
      <c r="F65" s="306"/>
      <c r="G65" s="307"/>
      <c r="H65" s="308"/>
      <c r="I65" s="308"/>
      <c r="J65" s="253" t="s">
        <v>314</v>
      </c>
      <c r="K65" s="296">
        <v>3616659.52</v>
      </c>
      <c r="L65" s="295">
        <v>8321848.4300000006</v>
      </c>
      <c r="M65" s="268">
        <v>0.85</v>
      </c>
      <c r="N65" s="325"/>
      <c r="O65" s="325"/>
      <c r="P65" s="325"/>
      <c r="Q65" s="325"/>
      <c r="R65" s="325"/>
      <c r="S65" s="325"/>
    </row>
    <row r="66" spans="1:21" ht="108" customHeight="1" x14ac:dyDescent="0.25">
      <c r="A66" s="311" t="s">
        <v>422</v>
      </c>
      <c r="B66" s="312" t="s">
        <v>321</v>
      </c>
      <c r="C66" s="313">
        <f>'Подробно разпределение '!P24</f>
        <v>72</v>
      </c>
      <c r="D66" s="313">
        <f>'Подробно разпределение '!AD24</f>
        <v>72</v>
      </c>
      <c r="E66" s="278" t="s">
        <v>449</v>
      </c>
      <c r="F66" s="279" t="s">
        <v>404</v>
      </c>
      <c r="G66" s="262" t="s">
        <v>373</v>
      </c>
      <c r="H66" s="278" t="s">
        <v>405</v>
      </c>
      <c r="I66" s="278" t="s">
        <v>434</v>
      </c>
      <c r="J66" s="253">
        <v>179</v>
      </c>
      <c r="K66" s="298">
        <v>4198693.6900000004</v>
      </c>
      <c r="L66" s="299">
        <v>9948076.8500000015</v>
      </c>
      <c r="M66" s="280"/>
      <c r="N66" s="325">
        <v>5</v>
      </c>
      <c r="O66" s="325"/>
      <c r="P66" s="325"/>
      <c r="Q66" s="325"/>
      <c r="R66" s="325"/>
      <c r="S66" s="325">
        <v>1.25</v>
      </c>
    </row>
    <row r="67" spans="1:21" x14ac:dyDescent="0.25">
      <c r="A67" s="314"/>
      <c r="B67" s="292" t="s">
        <v>321</v>
      </c>
      <c r="C67" s="290">
        <v>72</v>
      </c>
      <c r="D67" s="290">
        <v>72</v>
      </c>
      <c r="E67" s="315"/>
      <c r="F67" s="315"/>
      <c r="G67" s="316"/>
      <c r="H67" s="314"/>
      <c r="I67" s="314"/>
      <c r="J67" s="281" t="s">
        <v>316</v>
      </c>
      <c r="K67" s="300">
        <v>582034.17000000004</v>
      </c>
      <c r="L67" s="295">
        <v>1626228.4182402091</v>
      </c>
      <c r="M67" s="282">
        <v>0.7</v>
      </c>
      <c r="N67" s="325"/>
      <c r="O67" s="325"/>
      <c r="P67" s="325"/>
      <c r="Q67" s="325"/>
      <c r="R67" s="325"/>
      <c r="S67" s="325"/>
    </row>
    <row r="68" spans="1:21" ht="16.5" customHeight="1" x14ac:dyDescent="0.25">
      <c r="A68" s="314"/>
      <c r="B68" s="292" t="s">
        <v>321</v>
      </c>
      <c r="C68" s="290">
        <v>72</v>
      </c>
      <c r="D68" s="290">
        <v>72</v>
      </c>
      <c r="E68" s="315"/>
      <c r="F68" s="315"/>
      <c r="G68" s="316"/>
      <c r="H68" s="314"/>
      <c r="I68" s="314"/>
      <c r="J68" s="281" t="s">
        <v>314</v>
      </c>
      <c r="K68" s="300">
        <v>3616659.52</v>
      </c>
      <c r="L68" s="295">
        <v>8321848.4300000006</v>
      </c>
      <c r="M68" s="282">
        <v>0.85</v>
      </c>
      <c r="N68" s="325"/>
      <c r="O68" s="325"/>
      <c r="P68" s="325"/>
      <c r="Q68" s="325"/>
      <c r="R68" s="325"/>
      <c r="S68" s="325"/>
    </row>
    <row r="69" spans="1:21" x14ac:dyDescent="0.2">
      <c r="N69" s="326">
        <f>SUM(N3:N68)</f>
        <v>100</v>
      </c>
      <c r="O69" s="326">
        <f t="shared" ref="O69:S69" si="0">SUM(O3:O68)</f>
        <v>100</v>
      </c>
      <c r="P69" s="326">
        <f t="shared" si="0"/>
        <v>100</v>
      </c>
      <c r="Q69" s="326">
        <f t="shared" si="0"/>
        <v>100</v>
      </c>
      <c r="R69" s="326">
        <f t="shared" si="0"/>
        <v>100</v>
      </c>
      <c r="S69" s="341">
        <f t="shared" si="0"/>
        <v>100</v>
      </c>
    </row>
    <row r="70" spans="1:21" x14ac:dyDescent="0.2">
      <c r="A70" s="356"/>
      <c r="B70" s="356"/>
      <c r="C70" s="404"/>
      <c r="D70" s="404"/>
      <c r="E70" s="356"/>
      <c r="F70" s="405"/>
      <c r="G70" s="406"/>
      <c r="H70" s="356"/>
      <c r="I70" s="356"/>
      <c r="K70" s="283">
        <f t="shared" ref="K70:L72" si="1">+K3+K6+K9+K12+K15+K18+K21+K24+K27+K30+K33+K36+K39+K42+K45+K48+K51+K54+K57+K60+K63+K66</f>
        <v>100279499.99999999</v>
      </c>
      <c r="L70" s="283">
        <f t="shared" si="1"/>
        <v>237594891.43000004</v>
      </c>
    </row>
    <row r="71" spans="1:21" x14ac:dyDescent="0.2">
      <c r="A71" s="356"/>
      <c r="B71" s="356"/>
      <c r="C71" s="404"/>
      <c r="D71" s="404"/>
      <c r="E71" s="356"/>
      <c r="F71" s="405"/>
      <c r="G71" s="406"/>
      <c r="H71" s="356"/>
      <c r="I71" s="356"/>
      <c r="K71" s="283">
        <f t="shared" si="1"/>
        <v>13901013</v>
      </c>
      <c r="L71" s="283">
        <f t="shared" si="1"/>
        <v>38840026.076480418</v>
      </c>
    </row>
    <row r="72" spans="1:21" x14ac:dyDescent="0.2">
      <c r="A72" s="356"/>
      <c r="B72" s="356"/>
      <c r="C72" s="404"/>
      <c r="D72" s="404"/>
      <c r="E72" s="356"/>
      <c r="F72" s="405"/>
      <c r="G72" s="406"/>
      <c r="H72" s="356"/>
      <c r="I72" s="355"/>
      <c r="K72" s="283">
        <f t="shared" si="1"/>
        <v>86378486.999999985</v>
      </c>
      <c r="L72" s="283">
        <f t="shared" si="1"/>
        <v>198754865.35000002</v>
      </c>
    </row>
    <row r="73" spans="1:21" ht="12.75" thickBot="1" x14ac:dyDescent="0.25">
      <c r="A73" s="356"/>
      <c r="B73" s="356"/>
      <c r="C73" s="404"/>
      <c r="D73" s="404"/>
      <c r="E73" s="356"/>
      <c r="F73" s="405"/>
      <c r="G73" s="406"/>
      <c r="H73" s="356"/>
      <c r="I73" s="356"/>
    </row>
    <row r="74" spans="1:21" ht="62.25" customHeight="1" x14ac:dyDescent="0.2">
      <c r="A74" s="356"/>
      <c r="B74" s="356"/>
      <c r="C74" s="404"/>
      <c r="D74" s="404"/>
      <c r="E74" s="356"/>
      <c r="F74" s="405"/>
      <c r="G74" s="406"/>
      <c r="H74" s="355"/>
      <c r="I74" s="355"/>
      <c r="J74" s="394"/>
      <c r="K74" s="395" t="s">
        <v>511</v>
      </c>
      <c r="L74" s="396" t="s">
        <v>510</v>
      </c>
    </row>
    <row r="75" spans="1:21" x14ac:dyDescent="0.2">
      <c r="A75" s="356"/>
      <c r="B75" s="356"/>
      <c r="C75" s="404"/>
      <c r="D75" s="404"/>
      <c r="E75" s="356"/>
      <c r="F75" s="405"/>
      <c r="G75" s="356"/>
      <c r="H75" s="407"/>
      <c r="I75" s="356"/>
      <c r="J75" s="397">
        <v>179</v>
      </c>
      <c r="K75" s="352">
        <f>+K51+K57+K60+K63+K66</f>
        <v>20664669.370000001</v>
      </c>
      <c r="L75" s="398">
        <f>+L51+L57+L60+L63+L66</f>
        <v>48961351.840000004</v>
      </c>
    </row>
    <row r="76" spans="1:21" ht="32.25" customHeight="1" x14ac:dyDescent="0.2">
      <c r="A76" s="356"/>
      <c r="B76" s="356"/>
      <c r="C76" s="404"/>
      <c r="D76" s="404"/>
      <c r="E76" s="356"/>
      <c r="F76" s="405"/>
      <c r="G76" s="408"/>
      <c r="H76" s="409"/>
      <c r="I76" s="356"/>
      <c r="J76" s="397">
        <v>180</v>
      </c>
      <c r="K76" s="353">
        <f>+K9+K18+K30+K12+K15+K21+K24+K27</f>
        <v>48344466.550000004</v>
      </c>
      <c r="L76" s="399">
        <f>+L9+L18+L30+L12+L15+L21+L24+L27</f>
        <v>114543832.69</v>
      </c>
      <c r="M76" s="356"/>
      <c r="N76" s="357"/>
      <c r="O76" s="357"/>
      <c r="P76" s="357"/>
      <c r="Q76" s="357"/>
      <c r="R76" s="357"/>
      <c r="S76" s="357"/>
      <c r="T76" s="355"/>
      <c r="U76" s="355"/>
    </row>
    <row r="77" spans="1:21" ht="12.75" x14ac:dyDescent="0.2">
      <c r="A77" s="356"/>
      <c r="B77" s="356"/>
      <c r="C77" s="404"/>
      <c r="D77" s="404"/>
      <c r="E77" s="356"/>
      <c r="F77" s="405"/>
      <c r="G77" s="410"/>
      <c r="H77" s="409"/>
      <c r="I77" s="356"/>
      <c r="J77" s="397">
        <v>181</v>
      </c>
      <c r="K77" s="353">
        <f>+K3+K6+K48+K54</f>
        <v>11198682.460000001</v>
      </c>
      <c r="L77" s="399">
        <f>+L3+L6+L48+L54</f>
        <v>26533336.770000003</v>
      </c>
      <c r="M77" s="356"/>
      <c r="N77" s="357"/>
      <c r="O77" s="357"/>
      <c r="P77" s="357"/>
      <c r="Q77" s="357"/>
      <c r="R77" s="357"/>
      <c r="S77" s="357"/>
      <c r="T77" s="355"/>
      <c r="U77" s="355"/>
    </row>
    <row r="78" spans="1:21" ht="12.75" x14ac:dyDescent="0.2">
      <c r="A78" s="356"/>
      <c r="B78" s="356"/>
      <c r="C78" s="404"/>
      <c r="D78" s="404"/>
      <c r="E78" s="356"/>
      <c r="F78" s="405"/>
      <c r="G78" s="410"/>
      <c r="H78" s="409"/>
      <c r="I78" s="356"/>
      <c r="J78" s="397">
        <v>182</v>
      </c>
      <c r="K78" s="353">
        <f>+K33+K36+K39+K42+K45</f>
        <v>20071681.619999997</v>
      </c>
      <c r="L78" s="399">
        <f>+L33+L36+L39+L42+L45</f>
        <v>47556370.129999995</v>
      </c>
      <c r="M78" s="356"/>
      <c r="N78" s="357"/>
      <c r="O78" s="357"/>
      <c r="P78" s="357"/>
      <c r="Q78" s="357"/>
      <c r="R78" s="357"/>
      <c r="S78" s="357"/>
      <c r="T78" s="355"/>
      <c r="U78" s="355"/>
    </row>
    <row r="79" spans="1:21" ht="13.5" thickBot="1" x14ac:dyDescent="0.25">
      <c r="A79" s="356"/>
      <c r="B79" s="356"/>
      <c r="C79" s="404"/>
      <c r="D79" s="404"/>
      <c r="E79" s="356"/>
      <c r="F79" s="405"/>
      <c r="G79" s="410"/>
      <c r="H79" s="409"/>
      <c r="I79" s="356"/>
      <c r="J79" s="400" t="s">
        <v>87</v>
      </c>
      <c r="K79" s="401">
        <f>SUBTOTAL(9,K75:K78)</f>
        <v>100279500</v>
      </c>
      <c r="L79" s="402">
        <f>SUBTOTAL(9,L75:L78)</f>
        <v>237594891.43000001</v>
      </c>
      <c r="M79" s="356"/>
      <c r="N79" s="357"/>
      <c r="O79" s="357"/>
      <c r="P79" s="357"/>
      <c r="Q79" s="357"/>
      <c r="R79" s="357"/>
      <c r="S79" s="357"/>
      <c r="T79" s="355"/>
      <c r="U79" s="355"/>
    </row>
    <row r="80" spans="1:21" x14ac:dyDescent="0.2">
      <c r="A80" s="356"/>
      <c r="B80" s="356"/>
      <c r="C80" s="404"/>
      <c r="D80" s="404"/>
      <c r="E80" s="356"/>
      <c r="F80" s="405"/>
      <c r="G80" s="356"/>
      <c r="H80" s="356"/>
      <c r="I80" s="356"/>
      <c r="J80" s="284"/>
      <c r="K80" s="294"/>
      <c r="L80" s="294"/>
      <c r="M80" s="403"/>
      <c r="N80" s="357"/>
      <c r="O80" s="357"/>
      <c r="P80" s="357"/>
      <c r="Q80" s="357"/>
      <c r="R80" s="357"/>
      <c r="S80" s="357"/>
      <c r="T80" s="355"/>
      <c r="U80" s="355"/>
    </row>
    <row r="81" spans="1:21" x14ac:dyDescent="0.2">
      <c r="A81" s="356"/>
      <c r="B81" s="356"/>
      <c r="C81" s="404"/>
      <c r="D81" s="404"/>
      <c r="E81" s="356"/>
      <c r="F81" s="405"/>
      <c r="G81" s="406"/>
      <c r="H81" s="356"/>
      <c r="I81" s="356"/>
      <c r="J81" s="354"/>
      <c r="K81" s="355"/>
      <c r="L81" s="355"/>
      <c r="M81" s="356"/>
      <c r="N81" s="357"/>
      <c r="O81" s="357"/>
      <c r="P81" s="357"/>
      <c r="Q81" s="357"/>
      <c r="R81" s="357"/>
      <c r="S81" s="357"/>
      <c r="T81" s="355"/>
      <c r="U81" s="355"/>
    </row>
    <row r="82" spans="1:21" ht="24.75" thickBot="1" x14ac:dyDescent="0.25">
      <c r="A82" s="356"/>
      <c r="B82" s="356"/>
      <c r="C82" s="404"/>
      <c r="D82" s="404"/>
      <c r="E82" s="356"/>
      <c r="F82" s="405"/>
      <c r="G82" s="406"/>
      <c r="H82" s="356"/>
      <c r="I82" s="356"/>
      <c r="J82" s="354"/>
      <c r="K82" s="374" t="s">
        <v>430</v>
      </c>
      <c r="L82" s="374" t="s">
        <v>431</v>
      </c>
      <c r="M82" s="356"/>
      <c r="N82" s="357"/>
      <c r="O82" s="357"/>
      <c r="P82" s="357"/>
      <c r="Q82" s="357"/>
      <c r="R82" s="357"/>
      <c r="S82" s="357"/>
      <c r="T82" s="355"/>
      <c r="U82" s="355"/>
    </row>
    <row r="83" spans="1:21" x14ac:dyDescent="0.2">
      <c r="A83" s="356"/>
      <c r="B83" s="356"/>
      <c r="C83" s="404"/>
      <c r="D83" s="404"/>
      <c r="E83" s="356"/>
      <c r="F83" s="405"/>
      <c r="G83" s="406"/>
      <c r="H83" s="356"/>
      <c r="I83" s="356"/>
      <c r="J83" s="358" t="s">
        <v>355</v>
      </c>
      <c r="K83" s="359">
        <f>+K52+K58+K61+K64+K67</f>
        <v>2864591.85</v>
      </c>
      <c r="L83" s="360">
        <f>+L52+L58+L61+L64+L67</f>
        <v>8003792.386480418</v>
      </c>
      <c r="M83" s="356"/>
      <c r="N83" s="356"/>
      <c r="O83" s="357"/>
      <c r="P83" s="357"/>
      <c r="Q83" s="357"/>
      <c r="R83" s="357"/>
      <c r="S83" s="357"/>
      <c r="T83" s="355"/>
      <c r="U83" s="355"/>
    </row>
    <row r="84" spans="1:21" ht="24" x14ac:dyDescent="0.2">
      <c r="A84" s="356"/>
      <c r="B84" s="356"/>
      <c r="C84" s="404"/>
      <c r="D84" s="404"/>
      <c r="E84" s="356"/>
      <c r="F84" s="405"/>
      <c r="G84" s="406"/>
      <c r="H84" s="356"/>
      <c r="I84" s="356"/>
      <c r="J84" s="361" t="s">
        <v>356</v>
      </c>
      <c r="K84" s="362">
        <f>+K53+K59+K62+K65+K68</f>
        <v>17800077.52</v>
      </c>
      <c r="L84" s="363">
        <f>+L53+L59+L62+L65+L68</f>
        <v>40957559.450000003</v>
      </c>
      <c r="M84" s="356"/>
      <c r="N84" s="357"/>
      <c r="O84" s="357"/>
      <c r="P84" s="357"/>
      <c r="Q84" s="357"/>
      <c r="R84" s="357"/>
      <c r="S84" s="357"/>
      <c r="T84" s="355"/>
      <c r="U84" s="355"/>
    </row>
    <row r="85" spans="1:21" x14ac:dyDescent="0.2">
      <c r="A85" s="356"/>
      <c r="B85" s="356"/>
      <c r="C85" s="404"/>
      <c r="D85" s="404"/>
      <c r="E85" s="356"/>
      <c r="F85" s="405"/>
      <c r="G85" s="406"/>
      <c r="H85" s="356"/>
      <c r="I85" s="356"/>
      <c r="J85" s="361" t="s">
        <v>357</v>
      </c>
      <c r="K85" s="364">
        <f>+K10+K13+K16+K19+K22+K25+K28+K31</f>
        <v>6701639.5099999998</v>
      </c>
      <c r="L85" s="365">
        <f>+L10+L13+L16+L19+L22+L25+L28+L31</f>
        <v>18724667.949999999</v>
      </c>
      <c r="M85" s="356"/>
      <c r="N85" s="356"/>
      <c r="O85" s="357"/>
      <c r="P85" s="357"/>
      <c r="Q85" s="357"/>
      <c r="R85" s="357"/>
      <c r="S85" s="357"/>
      <c r="T85" s="355"/>
      <c r="U85" s="355"/>
    </row>
    <row r="86" spans="1:21" ht="24" x14ac:dyDescent="0.2">
      <c r="A86" s="356"/>
      <c r="B86" s="356"/>
      <c r="C86" s="404"/>
      <c r="D86" s="404"/>
      <c r="E86" s="356"/>
      <c r="F86" s="405"/>
      <c r="G86" s="406"/>
      <c r="H86" s="411"/>
      <c r="I86" s="356"/>
      <c r="J86" s="361" t="s">
        <v>358</v>
      </c>
      <c r="K86" s="364">
        <f>+K11+K14+K17+K20+K23+K26+K29+K32</f>
        <v>41642827.039999999</v>
      </c>
      <c r="L86" s="365">
        <f>+L11+L14+L17+L20+L23+L26+L29+L32</f>
        <v>95819164.74000001</v>
      </c>
      <c r="M86" s="356"/>
      <c r="N86" s="357"/>
      <c r="O86" s="357"/>
      <c r="P86" s="357"/>
      <c r="Q86" s="357"/>
      <c r="R86" s="357"/>
      <c r="S86" s="357"/>
      <c r="T86" s="355"/>
      <c r="U86" s="355"/>
    </row>
    <row r="87" spans="1:21" x14ac:dyDescent="0.2">
      <c r="A87" s="356"/>
      <c r="B87" s="356"/>
      <c r="C87" s="404"/>
      <c r="D87" s="404"/>
      <c r="E87" s="356"/>
      <c r="F87" s="405"/>
      <c r="G87" s="406"/>
      <c r="H87" s="412"/>
      <c r="I87" s="356"/>
      <c r="J87" s="361" t="s">
        <v>398</v>
      </c>
      <c r="K87" s="364">
        <f>+K4+K7+K49+K55</f>
        <v>1552391.3499999999</v>
      </c>
      <c r="L87" s="364">
        <f>+L4+L7+L49+L55</f>
        <v>4337448.0199999996</v>
      </c>
      <c r="M87" s="356"/>
      <c r="N87" s="356"/>
      <c r="O87" s="357"/>
      <c r="P87" s="357"/>
      <c r="Q87" s="357"/>
      <c r="R87" s="357"/>
      <c r="S87" s="357"/>
      <c r="T87" s="355"/>
      <c r="U87" s="355"/>
    </row>
    <row r="88" spans="1:21" ht="24" x14ac:dyDescent="0.2">
      <c r="A88" s="356"/>
      <c r="B88" s="356"/>
      <c r="C88" s="404"/>
      <c r="D88" s="404"/>
      <c r="E88" s="356"/>
      <c r="F88" s="405"/>
      <c r="G88" s="406"/>
      <c r="H88" s="411"/>
      <c r="I88" s="356"/>
      <c r="J88" s="361" t="s">
        <v>360</v>
      </c>
      <c r="K88" s="364">
        <f>+K5+K8+K50+K56</f>
        <v>9646291.1100000013</v>
      </c>
      <c r="L88" s="364">
        <f>+L5+L8+L50+L56</f>
        <v>22195888.750000004</v>
      </c>
      <c r="M88" s="356"/>
      <c r="N88" s="357"/>
      <c r="O88" s="357"/>
      <c r="P88" s="357"/>
      <c r="Q88" s="357"/>
      <c r="R88" s="357"/>
      <c r="S88" s="357"/>
      <c r="T88" s="355"/>
      <c r="U88" s="355"/>
    </row>
    <row r="89" spans="1:21" x14ac:dyDescent="0.2">
      <c r="A89" s="356"/>
      <c r="B89" s="356"/>
      <c r="C89" s="404"/>
      <c r="D89" s="404"/>
      <c r="E89" s="356"/>
      <c r="F89" s="405"/>
      <c r="G89" s="406"/>
      <c r="H89" s="412"/>
      <c r="I89" s="356"/>
      <c r="J89" s="361" t="s">
        <v>361</v>
      </c>
      <c r="K89" s="364">
        <f>+K34+K37+K40+K43+K46</f>
        <v>2782390.2899999996</v>
      </c>
      <c r="L89" s="365">
        <f>+L34+L37+L40+L43+L46</f>
        <v>7774117.7200000007</v>
      </c>
      <c r="M89" s="356"/>
      <c r="N89" s="356"/>
      <c r="O89" s="357"/>
      <c r="P89" s="357"/>
      <c r="Q89" s="357"/>
      <c r="R89" s="357"/>
      <c r="S89" s="357"/>
      <c r="T89" s="355"/>
      <c r="U89" s="355"/>
    </row>
    <row r="90" spans="1:21" ht="24" x14ac:dyDescent="0.2">
      <c r="A90" s="356"/>
      <c r="B90" s="356"/>
      <c r="C90" s="404"/>
      <c r="D90" s="404"/>
      <c r="E90" s="356"/>
      <c r="F90" s="405"/>
      <c r="G90" s="406"/>
      <c r="H90" s="411"/>
      <c r="I90" s="356"/>
      <c r="J90" s="361" t="s">
        <v>362</v>
      </c>
      <c r="K90" s="364">
        <f>+K35+K38+K41+K44+K47</f>
        <v>17289291.329999998</v>
      </c>
      <c r="L90" s="365">
        <f>+L35+L38+L41+L44+L47</f>
        <v>39782252.410000004</v>
      </c>
      <c r="M90" s="356"/>
      <c r="N90" s="357"/>
      <c r="O90" s="357"/>
      <c r="P90" s="357"/>
      <c r="Q90" s="357"/>
      <c r="R90" s="357"/>
      <c r="S90" s="357"/>
      <c r="T90" s="355"/>
      <c r="U90" s="355"/>
    </row>
    <row r="91" spans="1:21" ht="12.75" thickBot="1" x14ac:dyDescent="0.25">
      <c r="A91" s="356"/>
      <c r="B91" s="356"/>
      <c r="C91" s="404"/>
      <c r="D91" s="404"/>
      <c r="E91" s="356"/>
      <c r="F91" s="405"/>
      <c r="G91" s="406"/>
      <c r="H91" s="411"/>
      <c r="I91" s="356"/>
      <c r="J91" s="366" t="s">
        <v>429</v>
      </c>
      <c r="K91" s="367">
        <f>SUM(K83:K90)</f>
        <v>100279500</v>
      </c>
      <c r="L91" s="368">
        <f>SUM(L83:L90)</f>
        <v>237594891.42648044</v>
      </c>
      <c r="M91" s="356"/>
      <c r="N91" s="357"/>
      <c r="O91" s="357"/>
      <c r="P91" s="357"/>
      <c r="Q91" s="357"/>
      <c r="R91" s="357"/>
      <c r="S91" s="357"/>
      <c r="T91" s="355"/>
      <c r="U91" s="355"/>
    </row>
    <row r="92" spans="1:21" x14ac:dyDescent="0.2">
      <c r="A92" s="356"/>
      <c r="B92" s="356"/>
      <c r="C92" s="404"/>
      <c r="D92" s="404"/>
      <c r="E92" s="356"/>
      <c r="F92" s="405"/>
      <c r="G92" s="406"/>
      <c r="H92" s="356"/>
      <c r="I92" s="356"/>
      <c r="J92" s="369"/>
      <c r="K92" s="355"/>
      <c r="L92" s="354"/>
      <c r="M92" s="356"/>
      <c r="N92" s="357"/>
      <c r="O92" s="357"/>
      <c r="P92" s="357"/>
      <c r="Q92" s="357"/>
      <c r="R92" s="357"/>
      <c r="S92" s="357"/>
      <c r="T92" s="355"/>
      <c r="U92" s="355"/>
    </row>
    <row r="93" spans="1:21" ht="36" x14ac:dyDescent="0.2">
      <c r="A93" s="356"/>
      <c r="B93" s="356"/>
      <c r="C93" s="404"/>
      <c r="D93" s="404"/>
      <c r="E93" s="356"/>
      <c r="F93" s="405"/>
      <c r="G93" s="406"/>
      <c r="H93" s="356"/>
      <c r="I93" s="356"/>
      <c r="J93" s="354"/>
      <c r="K93" s="374" t="s">
        <v>432</v>
      </c>
      <c r="L93" s="354"/>
      <c r="M93" s="356"/>
      <c r="N93" s="357"/>
      <c r="O93" s="357"/>
      <c r="P93" s="357"/>
      <c r="Q93" s="357"/>
      <c r="R93" s="357"/>
      <c r="S93" s="357"/>
      <c r="T93" s="355"/>
      <c r="U93" s="355"/>
    </row>
    <row r="94" spans="1:21" x14ac:dyDescent="0.2">
      <c r="A94" s="356"/>
      <c r="B94" s="356"/>
      <c r="C94" s="404"/>
      <c r="D94" s="404"/>
      <c r="E94" s="356"/>
      <c r="F94" s="405"/>
      <c r="G94" s="406"/>
      <c r="H94" s="356"/>
      <c r="I94" s="356"/>
      <c r="J94" s="370" t="s">
        <v>355</v>
      </c>
      <c r="K94" s="386">
        <v>2864592</v>
      </c>
      <c r="L94" s="354"/>
      <c r="M94" s="356"/>
      <c r="N94" s="356"/>
      <c r="O94" s="357"/>
      <c r="P94" s="357"/>
      <c r="Q94" s="357"/>
      <c r="R94" s="357"/>
      <c r="S94" s="357"/>
      <c r="T94" s="355"/>
      <c r="U94" s="355"/>
    </row>
    <row r="95" spans="1:21" ht="24" x14ac:dyDescent="0.2">
      <c r="A95" s="356"/>
      <c r="B95" s="356"/>
      <c r="C95" s="404"/>
      <c r="D95" s="404"/>
      <c r="E95" s="356"/>
      <c r="F95" s="405"/>
      <c r="G95" s="406"/>
      <c r="H95" s="356"/>
      <c r="I95" s="356"/>
      <c r="J95" s="370" t="s">
        <v>356</v>
      </c>
      <c r="K95" s="386">
        <v>17800078</v>
      </c>
      <c r="L95" s="354"/>
      <c r="M95" s="356"/>
      <c r="N95" s="357"/>
      <c r="O95" s="357"/>
      <c r="P95" s="357"/>
      <c r="Q95" s="357"/>
      <c r="R95" s="357"/>
      <c r="S95" s="357"/>
      <c r="T95" s="355"/>
      <c r="U95" s="355"/>
    </row>
    <row r="96" spans="1:21" x14ac:dyDescent="0.2">
      <c r="A96" s="356"/>
      <c r="B96" s="356"/>
      <c r="C96" s="404"/>
      <c r="D96" s="404"/>
      <c r="E96" s="356"/>
      <c r="F96" s="405"/>
      <c r="G96" s="406"/>
      <c r="H96" s="356"/>
      <c r="I96" s="356"/>
      <c r="J96" s="370" t="s">
        <v>357</v>
      </c>
      <c r="K96" s="386">
        <v>6701640</v>
      </c>
      <c r="L96" s="354"/>
      <c r="M96" s="356"/>
      <c r="N96" s="357"/>
      <c r="O96" s="357"/>
      <c r="P96" s="357"/>
      <c r="Q96" s="357"/>
      <c r="R96" s="357"/>
      <c r="S96" s="357"/>
      <c r="T96" s="355"/>
      <c r="U96" s="355"/>
    </row>
    <row r="97" spans="1:21" ht="24" x14ac:dyDescent="0.2">
      <c r="A97" s="356"/>
      <c r="B97" s="356"/>
      <c r="C97" s="404"/>
      <c r="D97" s="404"/>
      <c r="E97" s="356"/>
      <c r="F97" s="405"/>
      <c r="G97" s="406"/>
      <c r="H97" s="356"/>
      <c r="I97" s="356"/>
      <c r="J97" s="370" t="s">
        <v>358</v>
      </c>
      <c r="K97" s="386">
        <v>41642827</v>
      </c>
      <c r="L97" s="354"/>
      <c r="M97" s="356"/>
      <c r="N97" s="357"/>
      <c r="O97" s="357"/>
      <c r="P97" s="357"/>
      <c r="Q97" s="357"/>
      <c r="R97" s="357"/>
      <c r="S97" s="357"/>
      <c r="T97" s="355"/>
      <c r="U97" s="355"/>
    </row>
    <row r="98" spans="1:21" x14ac:dyDescent="0.2">
      <c r="A98" s="356"/>
      <c r="B98" s="356"/>
      <c r="C98" s="404"/>
      <c r="D98" s="404"/>
      <c r="E98" s="356"/>
      <c r="F98" s="405"/>
      <c r="G98" s="406"/>
      <c r="H98" s="356"/>
      <c r="I98" s="356"/>
      <c r="J98" s="370" t="s">
        <v>359</v>
      </c>
      <c r="K98" s="386">
        <v>1552391</v>
      </c>
      <c r="L98" s="354"/>
      <c r="M98" s="356"/>
      <c r="N98" s="357"/>
      <c r="O98" s="357"/>
      <c r="P98" s="357"/>
      <c r="Q98" s="357"/>
      <c r="R98" s="357"/>
      <c r="S98" s="357"/>
      <c r="T98" s="355"/>
      <c r="U98" s="355"/>
    </row>
    <row r="99" spans="1:21" ht="24" x14ac:dyDescent="0.2">
      <c r="A99" s="356"/>
      <c r="B99" s="356"/>
      <c r="C99" s="404"/>
      <c r="D99" s="404"/>
      <c r="E99" s="356"/>
      <c r="F99" s="405"/>
      <c r="G99" s="406"/>
      <c r="H99" s="356"/>
      <c r="I99" s="356"/>
      <c r="J99" s="370" t="s">
        <v>360</v>
      </c>
      <c r="K99" s="386">
        <v>9646291</v>
      </c>
      <c r="L99" s="354"/>
      <c r="M99" s="356"/>
      <c r="N99" s="357"/>
      <c r="O99" s="357"/>
      <c r="P99" s="357"/>
      <c r="Q99" s="357"/>
      <c r="R99" s="357"/>
      <c r="S99" s="357"/>
      <c r="T99" s="355"/>
      <c r="U99" s="355"/>
    </row>
    <row r="100" spans="1:21" x14ac:dyDescent="0.2">
      <c r="A100" s="356"/>
      <c r="B100" s="356"/>
      <c r="C100" s="404"/>
      <c r="D100" s="404"/>
      <c r="E100" s="356"/>
      <c r="F100" s="405"/>
      <c r="G100" s="406"/>
      <c r="H100" s="356"/>
      <c r="I100" s="356"/>
      <c r="J100" s="370" t="s">
        <v>361</v>
      </c>
      <c r="K100" s="386">
        <v>2782390</v>
      </c>
      <c r="L100" s="354"/>
      <c r="M100" s="356"/>
      <c r="N100" s="357"/>
      <c r="O100" s="357"/>
      <c r="P100" s="357"/>
      <c r="Q100" s="357"/>
      <c r="R100" s="357"/>
      <c r="S100" s="357"/>
      <c r="T100" s="355"/>
      <c r="U100" s="355"/>
    </row>
    <row r="101" spans="1:21" ht="24" x14ac:dyDescent="0.2">
      <c r="A101" s="356"/>
      <c r="B101" s="356"/>
      <c r="C101" s="404"/>
      <c r="D101" s="404"/>
      <c r="E101" s="356"/>
      <c r="F101" s="405"/>
      <c r="G101" s="406"/>
      <c r="H101" s="356"/>
      <c r="I101" s="356"/>
      <c r="J101" s="370" t="s">
        <v>362</v>
      </c>
      <c r="K101" s="386">
        <v>17289291</v>
      </c>
      <c r="L101" s="354"/>
      <c r="M101" s="356"/>
      <c r="N101" s="357"/>
      <c r="O101" s="357"/>
      <c r="P101" s="357"/>
      <c r="Q101" s="357"/>
      <c r="R101" s="357"/>
      <c r="S101" s="357"/>
      <c r="T101" s="355"/>
      <c r="U101" s="355"/>
    </row>
    <row r="102" spans="1:21" x14ac:dyDescent="0.2">
      <c r="A102" s="369"/>
      <c r="B102" s="369"/>
      <c r="C102" s="413"/>
      <c r="D102" s="413"/>
      <c r="E102" s="369"/>
      <c r="F102" s="414"/>
      <c r="G102" s="415"/>
      <c r="H102" s="369"/>
      <c r="I102" s="369"/>
      <c r="J102" s="371" t="s">
        <v>429</v>
      </c>
      <c r="K102" s="372">
        <f>SUM(K94:K101)</f>
        <v>100279500</v>
      </c>
      <c r="L102" s="354"/>
      <c r="M102" s="356"/>
      <c r="N102" s="357"/>
      <c r="O102" s="357"/>
      <c r="P102" s="357"/>
      <c r="Q102" s="357"/>
      <c r="R102" s="357"/>
      <c r="S102" s="357"/>
      <c r="T102" s="355"/>
      <c r="U102" s="355"/>
    </row>
    <row r="103" spans="1:21" ht="12.75" thickBot="1" x14ac:dyDescent="0.25">
      <c r="A103" s="373"/>
      <c r="B103" s="373"/>
      <c r="C103" s="416"/>
      <c r="D103" s="416"/>
      <c r="E103" s="373"/>
      <c r="F103" s="417"/>
      <c r="G103" s="418"/>
      <c r="H103" s="373"/>
      <c r="I103" s="373"/>
      <c r="J103" s="373"/>
      <c r="K103" s="373"/>
      <c r="L103" s="354"/>
      <c r="M103" s="356"/>
      <c r="N103" s="357"/>
      <c r="O103" s="357"/>
      <c r="P103" s="357"/>
      <c r="Q103" s="357"/>
      <c r="R103" s="357"/>
      <c r="S103" s="357"/>
      <c r="T103" s="355"/>
      <c r="U103" s="355"/>
    </row>
    <row r="104" spans="1:21" x14ac:dyDescent="0.2">
      <c r="A104" s="356"/>
      <c r="B104" s="356"/>
      <c r="C104" s="404"/>
      <c r="D104" s="404"/>
      <c r="E104" s="356"/>
      <c r="F104" s="405"/>
      <c r="G104" s="406"/>
      <c r="H104" s="356"/>
      <c r="I104" s="356"/>
      <c r="J104" s="358" t="s">
        <v>316</v>
      </c>
      <c r="K104" s="419">
        <f>+K94+K96+K98+K100</f>
        <v>13901013</v>
      </c>
      <c r="L104" s="354"/>
      <c r="M104" s="356"/>
      <c r="N104" s="357"/>
      <c r="O104" s="357"/>
      <c r="P104" s="357"/>
      <c r="Q104" s="357"/>
      <c r="R104" s="357"/>
      <c r="S104" s="357"/>
      <c r="T104" s="355"/>
      <c r="U104" s="355"/>
    </row>
    <row r="105" spans="1:21" ht="24.75" thickBot="1" x14ac:dyDescent="0.25">
      <c r="A105" s="356"/>
      <c r="B105" s="356"/>
      <c r="C105" s="404"/>
      <c r="D105" s="404"/>
      <c r="E105" s="356"/>
      <c r="F105" s="405"/>
      <c r="G105" s="406"/>
      <c r="H105" s="356"/>
      <c r="I105" s="356"/>
      <c r="J105" s="420" t="s">
        <v>407</v>
      </c>
      <c r="K105" s="421">
        <f>+K95+K97+K99+K101</f>
        <v>86378487</v>
      </c>
      <c r="L105" s="373"/>
      <c r="M105" s="356"/>
      <c r="N105" s="357"/>
      <c r="O105" s="357"/>
      <c r="P105" s="357"/>
      <c r="Q105" s="357"/>
      <c r="R105" s="357"/>
      <c r="S105" s="357"/>
      <c r="T105" s="355"/>
      <c r="U105" s="355"/>
    </row>
    <row r="106" spans="1:21" x14ac:dyDescent="0.2">
      <c r="A106" s="356"/>
      <c r="B106" s="356"/>
      <c r="C106" s="404"/>
      <c r="D106" s="404"/>
      <c r="E106" s="356"/>
      <c r="F106" s="405"/>
      <c r="G106" s="406"/>
      <c r="H106" s="356"/>
      <c r="I106" s="356"/>
      <c r="J106" s="356"/>
      <c r="K106" s="356"/>
      <c r="L106" s="356"/>
      <c r="M106" s="356"/>
      <c r="N106" s="357"/>
      <c r="O106" s="357"/>
      <c r="P106" s="357"/>
      <c r="Q106" s="357"/>
      <c r="R106" s="357"/>
      <c r="S106" s="357"/>
      <c r="T106" s="355"/>
      <c r="U106" s="355"/>
    </row>
    <row r="107" spans="1:21" x14ac:dyDescent="0.2">
      <c r="A107" s="356"/>
      <c r="B107" s="356"/>
      <c r="C107" s="404"/>
      <c r="D107" s="404"/>
      <c r="E107" s="356"/>
      <c r="F107" s="405"/>
      <c r="G107" s="406"/>
      <c r="H107" s="356"/>
      <c r="I107" s="356"/>
      <c r="J107" s="356"/>
      <c r="K107" s="356"/>
      <c r="L107" s="356"/>
      <c r="M107" s="356"/>
      <c r="N107" s="357"/>
      <c r="O107" s="357"/>
      <c r="P107" s="357"/>
      <c r="Q107" s="357"/>
      <c r="R107" s="357"/>
      <c r="S107" s="357"/>
      <c r="T107" s="355"/>
      <c r="U107" s="355"/>
    </row>
    <row r="108" spans="1:21" x14ac:dyDescent="0.2">
      <c r="A108" s="356"/>
      <c r="B108" s="356"/>
      <c r="C108" s="404"/>
      <c r="D108" s="404"/>
      <c r="E108" s="356"/>
      <c r="F108" s="405"/>
      <c r="G108" s="406"/>
      <c r="H108" s="356"/>
      <c r="I108" s="356"/>
      <c r="J108" s="356"/>
      <c r="K108" s="356"/>
      <c r="L108" s="356"/>
      <c r="M108" s="356"/>
      <c r="N108" s="357"/>
      <c r="O108" s="357"/>
      <c r="P108" s="357"/>
      <c r="Q108" s="357"/>
      <c r="R108" s="357"/>
      <c r="S108" s="357"/>
      <c r="T108" s="355"/>
      <c r="U108" s="355"/>
    </row>
    <row r="109" spans="1:21" x14ac:dyDescent="0.2">
      <c r="A109" s="356"/>
      <c r="B109" s="356"/>
      <c r="C109" s="404"/>
      <c r="D109" s="404"/>
      <c r="E109" s="356"/>
      <c r="F109" s="405"/>
      <c r="G109" s="406"/>
      <c r="H109" s="356"/>
      <c r="I109" s="356"/>
    </row>
    <row r="110" spans="1:21" x14ac:dyDescent="0.2">
      <c r="A110" s="356"/>
      <c r="B110" s="356"/>
      <c r="C110" s="404"/>
      <c r="D110" s="404"/>
      <c r="E110" s="356"/>
      <c r="F110" s="405"/>
      <c r="G110" s="406"/>
      <c r="H110" s="356"/>
      <c r="I110" s="356"/>
    </row>
    <row r="111" spans="1:21" x14ac:dyDescent="0.2">
      <c r="A111" s="356"/>
      <c r="B111" s="356"/>
      <c r="C111" s="404"/>
      <c r="D111" s="404"/>
      <c r="E111" s="356"/>
      <c r="F111" s="405"/>
      <c r="G111" s="406"/>
      <c r="H111" s="356"/>
      <c r="I111" s="356"/>
    </row>
    <row r="112" spans="1:21" x14ac:dyDescent="0.2">
      <c r="A112" s="356"/>
      <c r="B112" s="356"/>
      <c r="C112" s="404"/>
      <c r="D112" s="404"/>
      <c r="E112" s="356"/>
      <c r="F112" s="405"/>
      <c r="G112" s="406"/>
      <c r="H112" s="356"/>
      <c r="I112" s="356"/>
    </row>
    <row r="113" spans="1:9" x14ac:dyDescent="0.2">
      <c r="A113" s="356"/>
      <c r="B113" s="356"/>
      <c r="C113" s="404"/>
      <c r="D113" s="404"/>
      <c r="E113" s="356"/>
      <c r="F113" s="405"/>
      <c r="G113" s="406"/>
      <c r="H113" s="356"/>
      <c r="I113" s="356"/>
    </row>
    <row r="114" spans="1:9" x14ac:dyDescent="0.2">
      <c r="A114" s="356"/>
      <c r="B114" s="356"/>
      <c r="C114" s="404"/>
      <c r="D114" s="404"/>
      <c r="E114" s="356"/>
      <c r="F114" s="405"/>
      <c r="G114" s="406"/>
      <c r="H114" s="356"/>
      <c r="I114" s="356"/>
    </row>
    <row r="115" spans="1:9" x14ac:dyDescent="0.2">
      <c r="A115" s="356"/>
      <c r="B115" s="356"/>
      <c r="C115" s="404"/>
      <c r="D115" s="404"/>
      <c r="E115" s="356"/>
      <c r="F115" s="405"/>
      <c r="G115" s="406"/>
      <c r="H115" s="356"/>
      <c r="I115" s="356"/>
    </row>
    <row r="116" spans="1:9" x14ac:dyDescent="0.2">
      <c r="A116" s="356"/>
      <c r="B116" s="356"/>
      <c r="C116" s="404"/>
      <c r="D116" s="404"/>
      <c r="E116" s="356"/>
      <c r="F116" s="405"/>
      <c r="G116" s="406"/>
      <c r="H116" s="356"/>
      <c r="I116" s="356"/>
    </row>
  </sheetData>
  <autoFilter ref="A1:M70"/>
  <customSheetViews>
    <customSheetView guid="{32A281B9-28FB-4D0E-8C01-BFBADAC8C3C9}" scale="85" showPageBreaks="1" fitToPage="1" printArea="1" showAutoFilter="1">
      <pane xSplit="1" ySplit="1" topLeftCell="B52" activePane="bottomRight" state="frozen"/>
      <selection pane="bottomRight" activeCell="A54" sqref="A54"/>
      <pageMargins left="0.25" right="0.25" top="0.75" bottom="0.75" header="0.3" footer="0.3"/>
      <pageSetup paperSize="9" scale="85" fitToHeight="0" orientation="landscape" r:id="rId1"/>
      <autoFilter ref="A1:M70"/>
    </customSheetView>
    <customSheetView guid="{77799D3C-38E2-410A-80FA-AECD8E6AB89B}" scale="120" showPageBreaks="1" fitToPage="1" printArea="1" showAutoFilter="1">
      <pane xSplit="4" ySplit="2" topLeftCell="G66" activePane="bottomRight" state="frozen"/>
      <selection pane="bottomRight" activeCell="G79" sqref="G79"/>
      <pageMargins left="0.25" right="0.25" top="0.75" bottom="0.75" header="0.3" footer="0.3"/>
      <pageSetup paperSize="9" scale="82" fitToHeight="0" orientation="landscape" r:id="rId2"/>
      <autoFilter ref="A1:M70"/>
    </customSheetView>
    <customSheetView guid="{B426F9F8-EB1A-4D7B-9478-7E22D414CC12}" scale="120" showPageBreaks="1" fitToPage="1" printArea="1" showAutoFilter="1">
      <pane xSplit="1" ySplit="1" topLeftCell="D33" activePane="bottomRight" state="frozen"/>
      <selection pane="bottomRight" activeCell="G33" sqref="G33"/>
      <pageMargins left="0.25" right="0.25" top="0.75" bottom="0.75" header="0.3" footer="0.3"/>
      <pageSetup paperSize="9" scale="82" fitToHeight="0" orientation="landscape" r:id="rId3"/>
      <autoFilter ref="A1:M70"/>
    </customSheetView>
    <customSheetView guid="{DD0EA6D3-BC8C-40D3-B12F-B88059C8E3DC}" scale="120" fitToPage="1" showAutoFilter="1">
      <pane xSplit="1" ySplit="1" topLeftCell="F33" activePane="bottomRight" state="frozen"/>
      <selection pane="bottomRight" activeCell="F33" sqref="F33"/>
      <pageMargins left="0.25" right="0.25" top="0.75" bottom="0.75" header="0.3" footer="0.3"/>
      <pageSetup paperSize="9" scale="82" fitToHeight="0" orientation="landscape" r:id="rId4"/>
      <autoFilter ref="A1:M70"/>
    </customSheetView>
    <customSheetView guid="{2A6315F5-C9A2-43A7-B337-00FD30A3EB26}" scale="110" showPageBreaks="1" fitToPage="1" printArea="1" showAutoFilter="1">
      <pane xSplit="7" ySplit="1" topLeftCell="H2" activePane="bottomRight" state="frozen"/>
      <selection pane="bottomRight"/>
      <pageMargins left="0.25" right="0.25" top="0.75" bottom="0.75" header="0.3" footer="0.3"/>
      <pageSetup paperSize="9" scale="73" fitToHeight="0" orientation="landscape" r:id="rId5"/>
      <autoFilter ref="G1:O67"/>
    </customSheetView>
    <customSheetView guid="{AD504361-49F3-4986-BDBF-FB73E2299976}" scale="120" fitToPage="1" showAutoFilter="1">
      <pane xSplit="4" ySplit="2" topLeftCell="E52" activePane="bottomRight" state="frozen"/>
      <selection pane="bottomRight" activeCell="A57" sqref="A57"/>
      <pageMargins left="0.25" right="0.25" top="0.75" bottom="0.75" header="0.3" footer="0.3"/>
      <pageSetup paperSize="9" fitToHeight="0" orientation="landscape" r:id="rId6"/>
      <autoFilter ref="A1:M72"/>
    </customSheetView>
    <customSheetView guid="{D1BD168D-40B4-46AB-88B7-64C22520CFA0}" scale="120" showPageBreaks="1" fitToPage="1" printArea="1" showAutoFilter="1">
      <pane xSplit="4" ySplit="2" topLeftCell="E52" activePane="bottomRight" state="frozen"/>
      <selection pane="bottomRight" activeCell="A57" sqref="A57"/>
      <pageMargins left="0.25" right="0.25" top="0.75" bottom="0.75" header="0.3" footer="0.3"/>
      <pageSetup paperSize="9" fitToHeight="0" orientation="landscape" r:id="rId7"/>
      <autoFilter ref="A1:M72"/>
    </customSheetView>
    <customSheetView guid="{56BC42A3-D967-4F27-BD5A-CB0B8CB7F657}" scale="150" showPageBreaks="1" fitToPage="1" printArea="1" showAutoFilter="1">
      <pane xSplit="4" ySplit="2" topLeftCell="I51" activePane="bottomRight" state="frozen"/>
      <selection pane="bottomRight" activeCell="I51" sqref="I51"/>
      <pageMargins left="0.25" right="0.25" top="0.75" bottom="0.75" header="0.3" footer="0.3"/>
      <pageSetup paperSize="9" scale="92" fitToHeight="0" orientation="landscape" r:id="rId8"/>
      <autoFilter ref="A1:M68"/>
    </customSheetView>
    <customSheetView guid="{13EBDE9D-EC74-4522-9EED-363E735B4A78}" scale="120" showPageBreaks="1" fitToPage="1" printArea="1" showAutoFilter="1" topLeftCell="A61">
      <pane xSplit="4.5168269230769234" ySplit="13.62" topLeftCell="H113"/>
      <selection activeCell="A70" sqref="A70"/>
      <pageMargins left="0.25" right="0.25" top="0.75" bottom="0.75" header="0.3" footer="0.3"/>
      <pageSetup paperSize="9" scale="33" fitToHeight="0" orientation="landscape" r:id="rId9"/>
      <autoFilter ref="A1:M70"/>
    </customSheetView>
  </customSheetViews>
  <pageMargins left="0.25" right="0.25" top="0.75" bottom="0.75" header="0.3" footer="0.3"/>
  <pageSetup paperSize="9" scale="85" fitToHeight="0" orientation="landscape"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zoomScaleNormal="100" workbookViewId="0">
      <selection activeCell="AB13" sqref="AB13"/>
    </sheetView>
  </sheetViews>
  <sheetFormatPr defaultColWidth="9.140625" defaultRowHeight="15" x14ac:dyDescent="0.25"/>
  <cols>
    <col min="1" max="1" width="14.5703125" style="130" customWidth="1"/>
    <col min="2" max="2" width="45.7109375" style="131" customWidth="1"/>
    <col min="3" max="3" width="11.42578125" style="133" customWidth="1"/>
    <col min="4" max="4" width="6.85546875" style="133" customWidth="1"/>
    <col min="5" max="5" width="6.42578125" style="133" bestFit="1" customWidth="1"/>
    <col min="6" max="6" width="7" style="133" bestFit="1" customWidth="1"/>
    <col min="7" max="7" width="7.140625" style="133" customWidth="1"/>
    <col min="8" max="8" width="7.42578125" style="133" customWidth="1"/>
    <col min="9" max="9" width="6" style="133" bestFit="1" customWidth="1"/>
    <col min="10" max="10" width="6.5703125" style="134" bestFit="1" customWidth="1"/>
    <col min="11" max="11" width="6.42578125" style="134" customWidth="1"/>
    <col min="12" max="12" width="6.7109375" style="133" bestFit="1" customWidth="1"/>
    <col min="13" max="13" width="8.7109375" style="133" customWidth="1"/>
    <col min="14" max="15" width="6.5703125" style="133" customWidth="1"/>
    <col min="16" max="16" width="11" style="133" customWidth="1"/>
    <col min="17" max="17" width="10" style="133" customWidth="1"/>
    <col min="18" max="19" width="6.7109375" style="133" customWidth="1"/>
    <col min="20" max="22" width="7" style="133" customWidth="1"/>
    <col min="23" max="23" width="6.42578125" style="133" bestFit="1" customWidth="1"/>
    <col min="24" max="24" width="5.7109375" style="134" customWidth="1"/>
    <col min="25" max="25" width="6.28515625" style="134" customWidth="1"/>
    <col min="26" max="26" width="6.5703125" style="133" customWidth="1"/>
    <col min="27" max="27" width="7.5703125" style="133" customWidth="1"/>
    <col min="28" max="28" width="5.5703125" style="133" customWidth="1"/>
    <col min="29" max="29" width="7.140625" style="133" customWidth="1"/>
    <col min="30" max="30" width="11.5703125" style="133" customWidth="1"/>
    <col min="31" max="16384" width="9.140625" style="126"/>
  </cols>
  <sheetData>
    <row r="1" spans="1:30" x14ac:dyDescent="0.25">
      <c r="A1" s="463" t="s">
        <v>73</v>
      </c>
      <c r="B1" s="465" t="s">
        <v>74</v>
      </c>
      <c r="C1" s="467" t="s">
        <v>75</v>
      </c>
      <c r="D1" s="468"/>
      <c r="E1" s="468"/>
      <c r="F1" s="468"/>
      <c r="G1" s="468"/>
      <c r="H1" s="468"/>
      <c r="I1" s="468"/>
      <c r="J1" s="468"/>
      <c r="K1" s="468"/>
      <c r="L1" s="468"/>
      <c r="M1" s="468"/>
      <c r="N1" s="468"/>
      <c r="O1" s="468"/>
      <c r="P1" s="469"/>
      <c r="Q1" s="470" t="s">
        <v>325</v>
      </c>
      <c r="R1" s="471"/>
      <c r="S1" s="471"/>
      <c r="T1" s="471"/>
      <c r="U1" s="471"/>
      <c r="V1" s="471"/>
      <c r="W1" s="471"/>
      <c r="X1" s="471"/>
      <c r="Y1" s="471"/>
      <c r="Z1" s="471"/>
      <c r="AA1" s="471"/>
      <c r="AB1" s="471"/>
      <c r="AC1" s="471"/>
      <c r="AD1" s="472"/>
    </row>
    <row r="2" spans="1:30" ht="48" x14ac:dyDescent="0.25">
      <c r="A2" s="464"/>
      <c r="B2" s="466"/>
      <c r="C2" s="165" t="s">
        <v>76</v>
      </c>
      <c r="D2" s="165" t="s">
        <v>77</v>
      </c>
      <c r="E2" s="165" t="s">
        <v>78</v>
      </c>
      <c r="F2" s="165" t="s">
        <v>79</v>
      </c>
      <c r="G2" s="165" t="s">
        <v>80</v>
      </c>
      <c r="H2" s="165" t="s">
        <v>315</v>
      </c>
      <c r="I2" s="165" t="s">
        <v>81</v>
      </c>
      <c r="J2" s="165" t="s">
        <v>82</v>
      </c>
      <c r="K2" s="165" t="s">
        <v>83</v>
      </c>
      <c r="L2" s="165" t="s">
        <v>84</v>
      </c>
      <c r="M2" s="165" t="s">
        <v>85</v>
      </c>
      <c r="N2" s="165" t="s">
        <v>86</v>
      </c>
      <c r="O2" s="165" t="s">
        <v>335</v>
      </c>
      <c r="P2" s="166" t="s">
        <v>87</v>
      </c>
      <c r="Q2" s="165" t="s">
        <v>88</v>
      </c>
      <c r="R2" s="165" t="s">
        <v>89</v>
      </c>
      <c r="S2" s="165" t="s">
        <v>90</v>
      </c>
      <c r="T2" s="165" t="s">
        <v>91</v>
      </c>
      <c r="U2" s="165" t="s">
        <v>92</v>
      </c>
      <c r="V2" s="165" t="s">
        <v>315</v>
      </c>
      <c r="W2" s="165" t="s">
        <v>93</v>
      </c>
      <c r="X2" s="165" t="s">
        <v>334</v>
      </c>
      <c r="Y2" s="165" t="s">
        <v>94</v>
      </c>
      <c r="Z2" s="165" t="s">
        <v>95</v>
      </c>
      <c r="AA2" s="165" t="s">
        <v>96</v>
      </c>
      <c r="AB2" s="165" t="s">
        <v>97</v>
      </c>
      <c r="AC2" s="165" t="s">
        <v>335</v>
      </c>
      <c r="AD2" s="166" t="s">
        <v>98</v>
      </c>
    </row>
    <row r="3" spans="1:30" ht="30" x14ac:dyDescent="0.25">
      <c r="A3" s="172" t="s">
        <v>99</v>
      </c>
      <c r="B3" s="172" t="s">
        <v>330</v>
      </c>
      <c r="C3" s="167">
        <v>11</v>
      </c>
      <c r="D3" s="167">
        <v>6</v>
      </c>
      <c r="E3" s="167"/>
      <c r="F3" s="167">
        <v>3</v>
      </c>
      <c r="G3" s="167"/>
      <c r="H3" s="167">
        <v>3</v>
      </c>
      <c r="I3" s="167"/>
      <c r="J3" s="168"/>
      <c r="K3" s="168"/>
      <c r="L3" s="167"/>
      <c r="M3" s="167"/>
      <c r="N3" s="167"/>
      <c r="O3" s="167"/>
      <c r="P3" s="169">
        <f>SUM(C3:O3)</f>
        <v>23</v>
      </c>
      <c r="Q3" s="167">
        <v>28</v>
      </c>
      <c r="R3" s="167">
        <v>16</v>
      </c>
      <c r="S3" s="167"/>
      <c r="T3" s="167">
        <v>14</v>
      </c>
      <c r="U3" s="167"/>
      <c r="V3" s="167">
        <v>8</v>
      </c>
      <c r="W3" s="168"/>
      <c r="X3" s="168"/>
      <c r="Y3" s="168"/>
      <c r="Z3" s="167"/>
      <c r="AA3" s="167"/>
      <c r="AB3" s="167"/>
      <c r="AC3" s="167"/>
      <c r="AD3" s="169">
        <f>SUM(Q3:AC3)</f>
        <v>66</v>
      </c>
    </row>
    <row r="4" spans="1:30" x14ac:dyDescent="0.25">
      <c r="A4" s="172" t="s">
        <v>329</v>
      </c>
      <c r="B4" s="172" t="s">
        <v>365</v>
      </c>
      <c r="C4" s="167"/>
      <c r="D4" s="167"/>
      <c r="E4" s="167"/>
      <c r="F4" s="167"/>
      <c r="G4" s="167"/>
      <c r="H4" s="167"/>
      <c r="I4" s="167">
        <v>1</v>
      </c>
      <c r="J4" s="168"/>
      <c r="K4" s="168"/>
      <c r="L4" s="167"/>
      <c r="M4" s="167"/>
      <c r="N4" s="167">
        <v>1</v>
      </c>
      <c r="O4" s="167"/>
      <c r="P4" s="169">
        <f t="shared" ref="P4:P24" si="0">SUM(C4:O4)</f>
        <v>2</v>
      </c>
      <c r="Q4" s="167">
        <v>4</v>
      </c>
      <c r="R4" s="167"/>
      <c r="S4" s="167"/>
      <c r="T4" s="167">
        <v>1</v>
      </c>
      <c r="U4" s="167"/>
      <c r="V4" s="167"/>
      <c r="W4" s="168">
        <v>4</v>
      </c>
      <c r="X4" s="168"/>
      <c r="Y4" s="168"/>
      <c r="Z4" s="167"/>
      <c r="AA4" s="167"/>
      <c r="AB4" s="167">
        <v>1</v>
      </c>
      <c r="AC4" s="167"/>
      <c r="AD4" s="169">
        <f t="shared" ref="AD4:AD24" si="1">SUM(Q4:AC4)</f>
        <v>10</v>
      </c>
    </row>
    <row r="5" spans="1:30" ht="30" x14ac:dyDescent="0.25">
      <c r="A5" s="172" t="s">
        <v>332</v>
      </c>
      <c r="B5" s="172" t="s">
        <v>366</v>
      </c>
      <c r="C5" s="167">
        <v>13</v>
      </c>
      <c r="D5" s="167"/>
      <c r="E5" s="167">
        <v>5</v>
      </c>
      <c r="F5" s="167">
        <v>4</v>
      </c>
      <c r="G5" s="167">
        <v>3</v>
      </c>
      <c r="H5" s="167"/>
      <c r="I5" s="167"/>
      <c r="J5" s="168"/>
      <c r="K5" s="168"/>
      <c r="L5" s="167"/>
      <c r="M5" s="167"/>
      <c r="N5" s="167"/>
      <c r="O5" s="167"/>
      <c r="P5" s="169">
        <f t="shared" si="0"/>
        <v>25</v>
      </c>
      <c r="Q5" s="167">
        <v>24</v>
      </c>
      <c r="R5" s="167"/>
      <c r="S5" s="167">
        <v>9</v>
      </c>
      <c r="T5" s="167">
        <v>3</v>
      </c>
      <c r="U5" s="167">
        <v>8</v>
      </c>
      <c r="V5" s="167"/>
      <c r="W5" s="167"/>
      <c r="X5" s="168"/>
      <c r="Y5" s="168"/>
      <c r="Z5" s="167"/>
      <c r="AA5" s="167"/>
      <c r="AB5" s="167"/>
      <c r="AC5" s="167"/>
      <c r="AD5" s="169">
        <f t="shared" si="1"/>
        <v>44</v>
      </c>
    </row>
    <row r="6" spans="1:30" ht="30" x14ac:dyDescent="0.25">
      <c r="A6" s="172" t="s">
        <v>333</v>
      </c>
      <c r="B6" s="172" t="s">
        <v>100</v>
      </c>
      <c r="C6" s="167"/>
      <c r="D6" s="167">
        <v>72</v>
      </c>
      <c r="E6" s="167">
        <v>118</v>
      </c>
      <c r="F6" s="167">
        <v>63</v>
      </c>
      <c r="G6" s="167">
        <v>240</v>
      </c>
      <c r="H6" s="167"/>
      <c r="I6" s="167"/>
      <c r="J6" s="168"/>
      <c r="K6" s="168"/>
      <c r="L6" s="167"/>
      <c r="M6" s="167"/>
      <c r="N6" s="167"/>
      <c r="O6" s="167"/>
      <c r="P6" s="169">
        <f>SUM(C6:O6)</f>
        <v>493</v>
      </c>
      <c r="Q6" s="170"/>
      <c r="R6" s="171">
        <v>216</v>
      </c>
      <c r="S6" s="167">
        <v>610</v>
      </c>
      <c r="T6" s="167">
        <v>173</v>
      </c>
      <c r="U6" s="167">
        <v>720</v>
      </c>
      <c r="V6" s="167"/>
      <c r="W6" s="167"/>
      <c r="X6" s="167"/>
      <c r="Y6" s="167"/>
      <c r="Z6" s="168"/>
      <c r="AA6" s="168"/>
      <c r="AB6" s="167"/>
      <c r="AC6" s="167"/>
      <c r="AD6" s="169">
        <f>SUM(Q6:AC6)</f>
        <v>1719</v>
      </c>
    </row>
    <row r="7" spans="1:30" ht="45" x14ac:dyDescent="0.25">
      <c r="A7" s="172" t="s">
        <v>377</v>
      </c>
      <c r="B7" s="172" t="s">
        <v>372</v>
      </c>
      <c r="C7" s="167"/>
      <c r="D7" s="167"/>
      <c r="E7" s="167"/>
      <c r="F7" s="167"/>
      <c r="G7" s="167">
        <v>46</v>
      </c>
      <c r="H7" s="167"/>
      <c r="I7" s="167"/>
      <c r="J7" s="168"/>
      <c r="K7" s="168"/>
      <c r="L7" s="167"/>
      <c r="M7" s="167"/>
      <c r="N7" s="167"/>
      <c r="O7" s="167"/>
      <c r="P7" s="169">
        <f>SUM(C7:O7)</f>
        <v>46</v>
      </c>
      <c r="Q7" s="170"/>
      <c r="R7" s="171"/>
      <c r="S7" s="167"/>
      <c r="T7" s="167"/>
      <c r="U7" s="167">
        <v>50</v>
      </c>
      <c r="V7" s="167"/>
      <c r="W7" s="167"/>
      <c r="X7" s="167"/>
      <c r="Y7" s="167"/>
      <c r="Z7" s="168"/>
      <c r="AA7" s="168"/>
      <c r="AB7" s="167"/>
      <c r="AC7" s="167"/>
      <c r="AD7" s="169">
        <f>SUM(Q7:AC7)</f>
        <v>50</v>
      </c>
    </row>
    <row r="8" spans="1:30" ht="30" x14ac:dyDescent="0.25">
      <c r="A8" s="172" t="s">
        <v>414</v>
      </c>
      <c r="B8" s="172" t="s">
        <v>363</v>
      </c>
      <c r="C8" s="167"/>
      <c r="D8" s="167"/>
      <c r="E8" s="167"/>
      <c r="F8" s="167"/>
      <c r="G8" s="167"/>
      <c r="H8" s="167">
        <v>0</v>
      </c>
      <c r="I8" s="167"/>
      <c r="J8" s="168"/>
      <c r="K8" s="168"/>
      <c r="L8" s="167"/>
      <c r="M8" s="167"/>
      <c r="N8" s="167"/>
      <c r="O8" s="167"/>
      <c r="P8" s="169">
        <f t="shared" si="0"/>
        <v>0</v>
      </c>
      <c r="Q8" s="170"/>
      <c r="R8" s="171"/>
      <c r="S8" s="167"/>
      <c r="T8" s="167"/>
      <c r="U8" s="167"/>
      <c r="V8" s="167">
        <v>1</v>
      </c>
      <c r="W8" s="167"/>
      <c r="X8" s="167"/>
      <c r="Y8" s="167"/>
      <c r="Z8" s="168"/>
      <c r="AA8" s="168"/>
      <c r="AB8" s="167"/>
      <c r="AC8" s="167"/>
      <c r="AD8" s="169">
        <f t="shared" si="1"/>
        <v>1</v>
      </c>
    </row>
    <row r="9" spans="1:30" x14ac:dyDescent="0.25">
      <c r="A9" s="172" t="s">
        <v>378</v>
      </c>
      <c r="B9" s="172" t="s">
        <v>101</v>
      </c>
      <c r="C9" s="167">
        <v>25</v>
      </c>
      <c r="D9" s="167"/>
      <c r="E9" s="167"/>
      <c r="F9" s="167"/>
      <c r="G9" s="167"/>
      <c r="H9" s="167"/>
      <c r="I9" s="167"/>
      <c r="J9" s="168"/>
      <c r="K9" s="168"/>
      <c r="L9" s="167"/>
      <c r="M9" s="167"/>
      <c r="N9" s="167"/>
      <c r="O9" s="167"/>
      <c r="P9" s="169">
        <f>SUM(C9:O9)</f>
        <v>25</v>
      </c>
      <c r="Q9" s="170">
        <v>75</v>
      </c>
      <c r="R9" s="171"/>
      <c r="S9" s="167"/>
      <c r="T9" s="167"/>
      <c r="U9" s="167"/>
      <c r="V9" s="167"/>
      <c r="W9" s="167"/>
      <c r="X9" s="167"/>
      <c r="Y9" s="167"/>
      <c r="Z9" s="168"/>
      <c r="AA9" s="168"/>
      <c r="AB9" s="167"/>
      <c r="AC9" s="167"/>
      <c r="AD9" s="169">
        <f>SUM(Q9:AC9)</f>
        <v>75</v>
      </c>
    </row>
    <row r="10" spans="1:30" ht="30" x14ac:dyDescent="0.25">
      <c r="A10" s="172" t="s">
        <v>415</v>
      </c>
      <c r="B10" s="172" t="s">
        <v>102</v>
      </c>
      <c r="C10" s="167">
        <v>10</v>
      </c>
      <c r="D10" s="167"/>
      <c r="E10" s="167"/>
      <c r="F10" s="167"/>
      <c r="G10" s="167"/>
      <c r="H10" s="167"/>
      <c r="I10" s="167"/>
      <c r="J10" s="168"/>
      <c r="K10" s="168"/>
      <c r="L10" s="167"/>
      <c r="M10" s="167"/>
      <c r="N10" s="167"/>
      <c r="O10" s="167"/>
      <c r="P10" s="169">
        <f>SUM(C10:O10)</f>
        <v>10</v>
      </c>
      <c r="Q10" s="170">
        <v>30</v>
      </c>
      <c r="R10" s="171"/>
      <c r="S10" s="167"/>
      <c r="T10" s="167"/>
      <c r="U10" s="167"/>
      <c r="V10" s="167"/>
      <c r="W10" s="167"/>
      <c r="X10" s="167"/>
      <c r="Y10" s="167"/>
      <c r="Z10" s="168"/>
      <c r="AA10" s="168"/>
      <c r="AB10" s="167"/>
      <c r="AC10" s="167"/>
      <c r="AD10" s="169">
        <f>SUM(Q10:AC10)</f>
        <v>30</v>
      </c>
    </row>
    <row r="11" spans="1:30" ht="30" x14ac:dyDescent="0.25">
      <c r="A11" s="172" t="s">
        <v>379</v>
      </c>
      <c r="B11" s="172" t="s">
        <v>337</v>
      </c>
      <c r="C11" s="167">
        <v>20</v>
      </c>
      <c r="D11" s="167"/>
      <c r="E11" s="167"/>
      <c r="F11" s="167"/>
      <c r="G11" s="167"/>
      <c r="H11" s="167"/>
      <c r="I11" s="167"/>
      <c r="J11" s="168"/>
      <c r="K11" s="168"/>
      <c r="L11" s="167"/>
      <c r="M11" s="167"/>
      <c r="N11" s="167"/>
      <c r="O11" s="167"/>
      <c r="P11" s="169">
        <f>SUM(C11:O11)</f>
        <v>20</v>
      </c>
      <c r="Q11" s="170">
        <v>40</v>
      </c>
      <c r="R11" s="171"/>
      <c r="S11" s="167"/>
      <c r="T11" s="167"/>
      <c r="U11" s="167"/>
      <c r="V11" s="167"/>
      <c r="W11" s="167"/>
      <c r="X11" s="167"/>
      <c r="Y11" s="167"/>
      <c r="Z11" s="168"/>
      <c r="AA11" s="168"/>
      <c r="AB11" s="167"/>
      <c r="AC11" s="167"/>
      <c r="AD11" s="169">
        <f>SUM(Q11:AC11)</f>
        <v>40</v>
      </c>
    </row>
    <row r="12" spans="1:30" ht="45" x14ac:dyDescent="0.25">
      <c r="A12" s="172" t="s">
        <v>416</v>
      </c>
      <c r="B12" s="172" t="s">
        <v>465</v>
      </c>
      <c r="C12" s="387">
        <v>53.1</v>
      </c>
      <c r="D12" s="387">
        <v>55.04</v>
      </c>
      <c r="E12" s="387">
        <v>30</v>
      </c>
      <c r="F12" s="387">
        <v>15</v>
      </c>
      <c r="G12" s="387">
        <v>29.67</v>
      </c>
      <c r="H12" s="387"/>
      <c r="I12" s="387">
        <v>0</v>
      </c>
      <c r="J12" s="387">
        <v>0</v>
      </c>
      <c r="K12" s="387"/>
      <c r="L12" s="387">
        <v>88</v>
      </c>
      <c r="M12" s="387"/>
      <c r="N12" s="387">
        <v>38</v>
      </c>
      <c r="O12" s="387"/>
      <c r="P12" s="388">
        <f t="shared" si="0"/>
        <v>308.81</v>
      </c>
      <c r="Q12" s="387">
        <v>53.1</v>
      </c>
      <c r="R12" s="387">
        <v>55.04</v>
      </c>
      <c r="S12" s="387">
        <v>30</v>
      </c>
      <c r="T12" s="387">
        <v>15</v>
      </c>
      <c r="U12" s="387">
        <v>29.67</v>
      </c>
      <c r="V12" s="387"/>
      <c r="W12" s="387">
        <v>0</v>
      </c>
      <c r="X12" s="387">
        <v>0</v>
      </c>
      <c r="Y12" s="387"/>
      <c r="Z12" s="387">
        <v>88</v>
      </c>
      <c r="AA12" s="387"/>
      <c r="AB12" s="387">
        <v>38</v>
      </c>
      <c r="AC12" s="387"/>
      <c r="AD12" s="388">
        <f t="shared" si="1"/>
        <v>308.81</v>
      </c>
    </row>
    <row r="13" spans="1:30" x14ac:dyDescent="0.25">
      <c r="A13" s="172" t="s">
        <v>380</v>
      </c>
      <c r="B13" s="172" t="s">
        <v>368</v>
      </c>
      <c r="C13" s="167">
        <f>4+1+1+2</f>
        <v>8</v>
      </c>
      <c r="D13" s="167">
        <f>2+1</f>
        <v>3</v>
      </c>
      <c r="E13" s="167"/>
      <c r="F13" s="167">
        <v>2</v>
      </c>
      <c r="G13" s="167">
        <f>2+1</f>
        <v>3</v>
      </c>
      <c r="H13" s="167">
        <f>2+1</f>
        <v>3</v>
      </c>
      <c r="I13" s="167">
        <v>1</v>
      </c>
      <c r="J13" s="168">
        <v>2</v>
      </c>
      <c r="K13" s="168"/>
      <c r="L13" s="167"/>
      <c r="M13" s="167"/>
      <c r="N13" s="167">
        <v>2</v>
      </c>
      <c r="O13" s="167">
        <v>11</v>
      </c>
      <c r="P13" s="169">
        <f>SUM(C13:O13)</f>
        <v>35</v>
      </c>
      <c r="Q13" s="170">
        <f>12+1+3+3+7</f>
        <v>26</v>
      </c>
      <c r="R13" s="171">
        <f>7+1</f>
        <v>8</v>
      </c>
      <c r="S13" s="167"/>
      <c r="T13" s="167">
        <v>7</v>
      </c>
      <c r="U13" s="167">
        <f>7+3</f>
        <v>10</v>
      </c>
      <c r="V13" s="167">
        <f>7+1</f>
        <v>8</v>
      </c>
      <c r="W13" s="167">
        <v>2</v>
      </c>
      <c r="X13" s="167">
        <v>7</v>
      </c>
      <c r="Y13" s="167"/>
      <c r="Z13" s="168"/>
      <c r="AA13" s="168"/>
      <c r="AB13" s="167">
        <v>7</v>
      </c>
      <c r="AC13" s="167">
        <v>19</v>
      </c>
      <c r="AD13" s="169">
        <f>SUM(Q13:AC13)</f>
        <v>94</v>
      </c>
    </row>
    <row r="14" spans="1:30" x14ac:dyDescent="0.25">
      <c r="A14" s="172" t="s">
        <v>381</v>
      </c>
      <c r="B14" s="172" t="s">
        <v>367</v>
      </c>
      <c r="C14" s="167">
        <f>61*3</f>
        <v>183</v>
      </c>
      <c r="D14" s="167">
        <f>64*2*3</f>
        <v>384</v>
      </c>
      <c r="E14" s="167">
        <f>120*3</f>
        <v>360</v>
      </c>
      <c r="F14" s="167">
        <f>28*3</f>
        <v>84</v>
      </c>
      <c r="G14" s="167">
        <v>45</v>
      </c>
      <c r="H14" s="167">
        <f>3*20</f>
        <v>60</v>
      </c>
      <c r="I14" s="167">
        <f>5*3</f>
        <v>15</v>
      </c>
      <c r="J14" s="168"/>
      <c r="K14" s="168"/>
      <c r="L14" s="167"/>
      <c r="M14" s="167">
        <v>300</v>
      </c>
      <c r="N14" s="167">
        <v>150</v>
      </c>
      <c r="O14" s="167">
        <v>8998.4630000000034</v>
      </c>
      <c r="P14" s="169">
        <f t="shared" si="0"/>
        <v>10579.463000000003</v>
      </c>
      <c r="Q14" s="170">
        <f>61*8</f>
        <v>488</v>
      </c>
      <c r="R14" s="167">
        <f>64*2*8</f>
        <v>1024</v>
      </c>
      <c r="S14" s="167">
        <f>120*8</f>
        <v>960</v>
      </c>
      <c r="T14" s="167">
        <f>28*8</f>
        <v>224</v>
      </c>
      <c r="U14" s="167">
        <f>120</f>
        <v>120</v>
      </c>
      <c r="V14" s="167">
        <f>8*20</f>
        <v>160</v>
      </c>
      <c r="W14" s="167">
        <f>5*8</f>
        <v>40</v>
      </c>
      <c r="X14" s="167"/>
      <c r="Y14" s="167"/>
      <c r="Z14" s="168"/>
      <c r="AA14" s="168">
        <v>300</v>
      </c>
      <c r="AB14" s="167">
        <v>400</v>
      </c>
      <c r="AC14" s="167">
        <v>15801.543333333335</v>
      </c>
      <c r="AD14" s="169">
        <f t="shared" si="1"/>
        <v>19517.543333333335</v>
      </c>
    </row>
    <row r="15" spans="1:30" ht="30" x14ac:dyDescent="0.25">
      <c r="A15" s="172" t="s">
        <v>382</v>
      </c>
      <c r="B15" s="172" t="s">
        <v>369</v>
      </c>
      <c r="C15" s="167"/>
      <c r="D15" s="167"/>
      <c r="E15" s="167"/>
      <c r="F15" s="167"/>
      <c r="G15" s="167"/>
      <c r="H15" s="167"/>
      <c r="I15" s="167"/>
      <c r="J15" s="168"/>
      <c r="K15" s="168"/>
      <c r="L15" s="167"/>
      <c r="M15" s="167"/>
      <c r="N15" s="167"/>
      <c r="O15" s="167"/>
      <c r="P15" s="169">
        <v>70</v>
      </c>
      <c r="Q15" s="170"/>
      <c r="R15" s="171"/>
      <c r="S15" s="167"/>
      <c r="T15" s="167"/>
      <c r="U15" s="167"/>
      <c r="V15" s="167"/>
      <c r="W15" s="167"/>
      <c r="X15" s="167"/>
      <c r="Y15" s="167"/>
      <c r="Z15" s="168"/>
      <c r="AA15" s="168"/>
      <c r="AB15" s="167"/>
      <c r="AC15" s="167"/>
      <c r="AD15" s="169">
        <v>80</v>
      </c>
    </row>
    <row r="16" spans="1:30" x14ac:dyDescent="0.25">
      <c r="A16" s="172" t="s">
        <v>383</v>
      </c>
      <c r="B16" s="172" t="s">
        <v>444</v>
      </c>
      <c r="C16" s="167"/>
      <c r="D16" s="167"/>
      <c r="E16" s="167"/>
      <c r="F16" s="167"/>
      <c r="G16" s="167"/>
      <c r="H16" s="167"/>
      <c r="I16" s="167"/>
      <c r="J16" s="167"/>
      <c r="K16" s="167">
        <v>45</v>
      </c>
      <c r="L16" s="167"/>
      <c r="M16" s="167"/>
      <c r="N16" s="167"/>
      <c r="O16" s="167"/>
      <c r="P16" s="169">
        <f t="shared" si="0"/>
        <v>45</v>
      </c>
      <c r="Q16" s="170"/>
      <c r="R16" s="171"/>
      <c r="S16" s="167"/>
      <c r="T16" s="167"/>
      <c r="U16" s="167"/>
      <c r="V16" s="167"/>
      <c r="W16" s="167"/>
      <c r="X16" s="167"/>
      <c r="Y16" s="167">
        <v>160</v>
      </c>
      <c r="Z16" s="168"/>
      <c r="AA16" s="168"/>
      <c r="AB16" s="167"/>
      <c r="AC16" s="167"/>
      <c r="AD16" s="169">
        <f t="shared" si="1"/>
        <v>160</v>
      </c>
    </row>
    <row r="17" spans="1:30" x14ac:dyDescent="0.25">
      <c r="A17" s="172" t="s">
        <v>443</v>
      </c>
      <c r="B17" s="172" t="s">
        <v>445</v>
      </c>
      <c r="C17" s="167"/>
      <c r="D17" s="167"/>
      <c r="E17" s="167"/>
      <c r="F17" s="167"/>
      <c r="G17" s="167"/>
      <c r="H17" s="167"/>
      <c r="I17" s="167"/>
      <c r="J17" s="167"/>
      <c r="K17" s="167"/>
      <c r="L17" s="167"/>
      <c r="M17" s="167"/>
      <c r="N17" s="167"/>
      <c r="O17" s="167"/>
      <c r="P17" s="169">
        <f t="shared" si="0"/>
        <v>0</v>
      </c>
      <c r="Q17" s="170"/>
      <c r="R17" s="171"/>
      <c r="S17" s="167"/>
      <c r="T17" s="167"/>
      <c r="U17" s="167"/>
      <c r="V17" s="167"/>
      <c r="W17" s="167"/>
      <c r="X17" s="167">
        <v>60</v>
      </c>
      <c r="Y17" s="167"/>
      <c r="Z17" s="168"/>
      <c r="AA17" s="168"/>
      <c r="AB17" s="167"/>
      <c r="AC17" s="167"/>
      <c r="AD17" s="169">
        <f t="shared" si="1"/>
        <v>60</v>
      </c>
    </row>
    <row r="18" spans="1:30" ht="30" x14ac:dyDescent="0.25">
      <c r="A18" s="172" t="s">
        <v>384</v>
      </c>
      <c r="B18" s="172" t="s">
        <v>370</v>
      </c>
      <c r="C18" s="167"/>
      <c r="D18" s="167"/>
      <c r="E18" s="167"/>
      <c r="F18" s="167"/>
      <c r="G18" s="167"/>
      <c r="H18" s="167"/>
      <c r="I18" s="167"/>
      <c r="J18" s="167"/>
      <c r="K18" s="167"/>
      <c r="L18" s="167"/>
      <c r="M18" s="167"/>
      <c r="N18" s="167"/>
      <c r="O18" s="167"/>
      <c r="P18" s="169">
        <f t="shared" si="0"/>
        <v>0</v>
      </c>
      <c r="Q18" s="170"/>
      <c r="R18" s="171"/>
      <c r="S18" s="167"/>
      <c r="T18" s="167"/>
      <c r="U18" s="167"/>
      <c r="V18" s="167"/>
      <c r="W18" s="167"/>
      <c r="X18" s="167"/>
      <c r="Y18" s="167">
        <v>240</v>
      </c>
      <c r="Z18" s="168"/>
      <c r="AA18" s="168"/>
      <c r="AB18" s="167"/>
      <c r="AC18" s="167"/>
      <c r="AD18" s="169">
        <f t="shared" si="1"/>
        <v>240</v>
      </c>
    </row>
    <row r="19" spans="1:30" ht="30" x14ac:dyDescent="0.25">
      <c r="A19" s="172" t="s">
        <v>451</v>
      </c>
      <c r="B19" s="172" t="s">
        <v>371</v>
      </c>
      <c r="C19" s="167"/>
      <c r="D19" s="167"/>
      <c r="E19" s="167"/>
      <c r="F19" s="167"/>
      <c r="G19" s="167"/>
      <c r="H19" s="167"/>
      <c r="I19" s="167"/>
      <c r="J19" s="167"/>
      <c r="K19" s="167"/>
      <c r="L19" s="167"/>
      <c r="M19" s="167"/>
      <c r="N19" s="167"/>
      <c r="O19" s="167"/>
      <c r="P19" s="169">
        <f t="shared" si="0"/>
        <v>0</v>
      </c>
      <c r="Q19" s="170"/>
      <c r="R19" s="171"/>
      <c r="S19" s="167"/>
      <c r="T19" s="167"/>
      <c r="U19" s="167"/>
      <c r="V19" s="167"/>
      <c r="W19" s="167"/>
      <c r="X19" s="167"/>
      <c r="Y19" s="167">
        <v>140</v>
      </c>
      <c r="Z19" s="168"/>
      <c r="AA19" s="168"/>
      <c r="AB19" s="167"/>
      <c r="AC19" s="167"/>
      <c r="AD19" s="169">
        <f t="shared" si="1"/>
        <v>140</v>
      </c>
    </row>
    <row r="20" spans="1:30" x14ac:dyDescent="0.25">
      <c r="A20" s="172" t="s">
        <v>452</v>
      </c>
      <c r="B20" s="172" t="s">
        <v>457</v>
      </c>
      <c r="C20" s="167"/>
      <c r="D20" s="167"/>
      <c r="E20" s="167"/>
      <c r="F20" s="167"/>
      <c r="G20" s="167"/>
      <c r="H20" s="167"/>
      <c r="I20" s="167"/>
      <c r="J20" s="167"/>
      <c r="K20" s="167">
        <v>0</v>
      </c>
      <c r="L20" s="167"/>
      <c r="M20" s="167"/>
      <c r="N20" s="167"/>
      <c r="O20" s="167"/>
      <c r="P20" s="169">
        <f>SUM(C20:O20)</f>
        <v>0</v>
      </c>
      <c r="Q20" s="170"/>
      <c r="R20" s="171"/>
      <c r="S20" s="167"/>
      <c r="T20" s="167"/>
      <c r="U20" s="167"/>
      <c r="V20" s="167"/>
      <c r="W20" s="167"/>
      <c r="X20" s="167"/>
      <c r="Y20" s="167">
        <v>8</v>
      </c>
      <c r="Z20" s="168"/>
      <c r="AA20" s="168"/>
      <c r="AB20" s="167"/>
      <c r="AC20" s="167"/>
      <c r="AD20" s="169">
        <f>SUM(Q20:AC20)</f>
        <v>8</v>
      </c>
    </row>
    <row r="21" spans="1:30" ht="30" x14ac:dyDescent="0.25">
      <c r="A21" s="172" t="s">
        <v>453</v>
      </c>
      <c r="B21" s="172" t="s">
        <v>456</v>
      </c>
      <c r="C21" s="167"/>
      <c r="D21" s="167"/>
      <c r="E21" s="167"/>
      <c r="F21" s="167"/>
      <c r="G21" s="167"/>
      <c r="H21" s="167"/>
      <c r="I21" s="167"/>
      <c r="J21" s="168">
        <v>12</v>
      </c>
      <c r="K21" s="168"/>
      <c r="L21" s="167">
        <f>1*265+1*2*27</f>
        <v>319</v>
      </c>
      <c r="M21" s="167"/>
      <c r="N21" s="167">
        <v>3</v>
      </c>
      <c r="O21" s="167"/>
      <c r="P21" s="169">
        <f t="shared" si="0"/>
        <v>334</v>
      </c>
      <c r="Q21" s="170"/>
      <c r="R21" s="171"/>
      <c r="S21" s="167"/>
      <c r="T21" s="167"/>
      <c r="U21" s="167"/>
      <c r="V21" s="167"/>
      <c r="W21" s="167"/>
      <c r="X21" s="167">
        <v>36</v>
      </c>
      <c r="Y21" s="167">
        <v>70</v>
      </c>
      <c r="Z21" s="168">
        <f>7*265+7*2*27</f>
        <v>2233</v>
      </c>
      <c r="AA21" s="168"/>
      <c r="AB21" s="167">
        <v>9</v>
      </c>
      <c r="AC21" s="167"/>
      <c r="AD21" s="169">
        <f t="shared" si="1"/>
        <v>2348</v>
      </c>
    </row>
    <row r="22" spans="1:30" x14ac:dyDescent="0.25">
      <c r="A22" s="172" t="s">
        <v>454</v>
      </c>
      <c r="B22" s="172" t="s">
        <v>103</v>
      </c>
      <c r="C22" s="167">
        <v>1000000</v>
      </c>
      <c r="D22" s="167"/>
      <c r="E22" s="167"/>
      <c r="F22" s="167"/>
      <c r="G22" s="167"/>
      <c r="H22" s="167"/>
      <c r="I22" s="167"/>
      <c r="J22" s="168"/>
      <c r="K22" s="168">
        <v>0</v>
      </c>
      <c r="L22" s="167"/>
      <c r="M22" s="167"/>
      <c r="N22" s="167"/>
      <c r="O22" s="167"/>
      <c r="P22" s="169">
        <f t="shared" si="0"/>
        <v>1000000</v>
      </c>
      <c r="Q22" s="170">
        <v>1000000</v>
      </c>
      <c r="R22" s="171"/>
      <c r="S22" s="167"/>
      <c r="T22" s="167"/>
      <c r="U22" s="167"/>
      <c r="V22" s="167"/>
      <c r="W22" s="167"/>
      <c r="X22" s="167"/>
      <c r="Y22" s="167"/>
      <c r="Z22" s="168"/>
      <c r="AA22" s="168"/>
      <c r="AB22" s="167"/>
      <c r="AC22" s="167"/>
      <c r="AD22" s="169">
        <f t="shared" si="1"/>
        <v>1000000</v>
      </c>
    </row>
    <row r="23" spans="1:30" x14ac:dyDescent="0.25">
      <c r="A23" s="172" t="s">
        <v>385</v>
      </c>
      <c r="B23" s="172" t="s">
        <v>104</v>
      </c>
      <c r="C23" s="167">
        <v>2160000</v>
      </c>
      <c r="D23" s="167"/>
      <c r="E23" s="167"/>
      <c r="F23" s="167"/>
      <c r="G23" s="167"/>
      <c r="H23" s="167"/>
      <c r="I23" s="167"/>
      <c r="J23" s="168"/>
      <c r="K23" s="168"/>
      <c r="L23" s="167"/>
      <c r="M23" s="167"/>
      <c r="N23" s="167"/>
      <c r="O23" s="167"/>
      <c r="P23" s="169">
        <f t="shared" si="0"/>
        <v>2160000</v>
      </c>
      <c r="Q23" s="170">
        <v>9072000</v>
      </c>
      <c r="R23" s="171"/>
      <c r="S23" s="167"/>
      <c r="T23" s="167"/>
      <c r="U23" s="167"/>
      <c r="V23" s="167"/>
      <c r="W23" s="167"/>
      <c r="X23" s="167"/>
      <c r="Y23" s="167"/>
      <c r="Z23" s="168"/>
      <c r="AA23" s="168"/>
      <c r="AB23" s="167"/>
      <c r="AC23" s="167"/>
      <c r="AD23" s="169">
        <f t="shared" si="1"/>
        <v>9072000</v>
      </c>
    </row>
    <row r="24" spans="1:30" ht="21" customHeight="1" x14ac:dyDescent="0.25">
      <c r="A24" s="172" t="s">
        <v>455</v>
      </c>
      <c r="B24" s="172" t="s">
        <v>105</v>
      </c>
      <c r="C24" s="167">
        <v>72</v>
      </c>
      <c r="D24" s="167"/>
      <c r="E24" s="167"/>
      <c r="F24" s="167"/>
      <c r="G24" s="167"/>
      <c r="H24" s="167"/>
      <c r="I24" s="167"/>
      <c r="J24" s="168"/>
      <c r="K24" s="168"/>
      <c r="L24" s="167"/>
      <c r="M24" s="167"/>
      <c r="N24" s="167"/>
      <c r="O24" s="167"/>
      <c r="P24" s="169">
        <f t="shared" si="0"/>
        <v>72</v>
      </c>
      <c r="Q24" s="170">
        <v>72</v>
      </c>
      <c r="R24" s="171"/>
      <c r="S24" s="167"/>
      <c r="T24" s="167"/>
      <c r="U24" s="167"/>
      <c r="V24" s="167"/>
      <c r="W24" s="167"/>
      <c r="X24" s="167"/>
      <c r="Y24" s="167"/>
      <c r="Z24" s="168"/>
      <c r="AA24" s="168"/>
      <c r="AB24" s="167"/>
      <c r="AC24" s="167"/>
      <c r="AD24" s="169">
        <f t="shared" si="1"/>
        <v>72</v>
      </c>
    </row>
    <row r="27" spans="1:30" x14ac:dyDescent="0.25">
      <c r="B27" s="255"/>
      <c r="C27" s="256"/>
      <c r="D27" s="256"/>
      <c r="E27" s="256"/>
      <c r="F27" s="256"/>
      <c r="G27" s="256"/>
      <c r="H27" s="256"/>
      <c r="I27" s="256"/>
      <c r="J27" s="257"/>
    </row>
    <row r="28" spans="1:30" x14ac:dyDescent="0.25">
      <c r="B28" s="255"/>
      <c r="C28" s="256"/>
      <c r="D28" s="256"/>
      <c r="E28" s="256"/>
      <c r="F28" s="257"/>
      <c r="G28" s="134"/>
      <c r="J28" s="133"/>
      <c r="K28" s="133"/>
      <c r="T28" s="134"/>
      <c r="U28" s="134"/>
      <c r="X28" s="133"/>
      <c r="Y28" s="133"/>
      <c r="AA28" s="126"/>
      <c r="AB28" s="126"/>
      <c r="AC28" s="126"/>
      <c r="AD28" s="126"/>
    </row>
    <row r="29" spans="1:30" x14ac:dyDescent="0.25">
      <c r="B29" s="255"/>
      <c r="C29" s="256"/>
      <c r="D29" s="256"/>
      <c r="E29" s="257"/>
      <c r="F29" s="134"/>
      <c r="J29" s="133"/>
      <c r="K29" s="133"/>
      <c r="S29" s="134"/>
      <c r="T29" s="134"/>
      <c r="X29" s="133"/>
      <c r="Y29" s="133"/>
      <c r="Z29" s="126"/>
      <c r="AA29" s="126"/>
      <c r="AB29" s="126"/>
      <c r="AC29" s="126"/>
      <c r="AD29" s="126"/>
    </row>
    <row r="30" spans="1:30" x14ac:dyDescent="0.25">
      <c r="B30" s="255"/>
      <c r="C30" s="256"/>
      <c r="D30" s="256"/>
      <c r="E30" s="257"/>
      <c r="F30" s="134"/>
      <c r="J30" s="133"/>
      <c r="K30" s="133"/>
      <c r="S30" s="134"/>
      <c r="T30" s="134"/>
      <c r="X30" s="133"/>
      <c r="Y30" s="133"/>
      <c r="Z30" s="126"/>
      <c r="AA30" s="126"/>
      <c r="AB30" s="126"/>
      <c r="AC30" s="126"/>
      <c r="AD30" s="126"/>
    </row>
    <row r="31" spans="1:30" x14ac:dyDescent="0.25">
      <c r="B31" s="255"/>
      <c r="C31" s="256"/>
      <c r="D31" s="256"/>
      <c r="E31" s="257"/>
      <c r="F31" s="134"/>
      <c r="J31" s="133"/>
      <c r="K31" s="133"/>
      <c r="S31" s="134"/>
      <c r="T31" s="134"/>
      <c r="X31" s="133"/>
      <c r="Y31" s="133"/>
      <c r="Z31" s="126"/>
      <c r="AA31" s="126"/>
      <c r="AB31" s="126"/>
      <c r="AC31" s="126"/>
      <c r="AD31" s="126"/>
    </row>
    <row r="32" spans="1:30" x14ac:dyDescent="0.25">
      <c r="B32" s="255"/>
      <c r="C32" s="256"/>
      <c r="D32" s="256"/>
      <c r="E32" s="257"/>
      <c r="F32" s="134"/>
      <c r="J32" s="133"/>
      <c r="K32" s="133"/>
      <c r="S32" s="134"/>
      <c r="T32" s="134"/>
      <c r="X32" s="133"/>
      <c r="Y32" s="133"/>
      <c r="Z32" s="126"/>
      <c r="AA32" s="126"/>
      <c r="AB32" s="126"/>
      <c r="AC32" s="126"/>
      <c r="AD32" s="126"/>
    </row>
    <row r="33" spans="2:30" x14ac:dyDescent="0.25">
      <c r="B33" s="255"/>
      <c r="C33" s="256"/>
      <c r="D33" s="256"/>
      <c r="E33" s="257"/>
      <c r="F33" s="134"/>
      <c r="J33" s="133"/>
      <c r="K33" s="133"/>
      <c r="S33" s="134"/>
      <c r="T33" s="134"/>
      <c r="X33" s="133"/>
      <c r="Y33" s="133"/>
      <c r="Z33" s="126"/>
      <c r="AA33" s="126"/>
      <c r="AB33" s="126"/>
      <c r="AC33" s="126"/>
      <c r="AD33" s="126"/>
    </row>
    <row r="34" spans="2:30" x14ac:dyDescent="0.25">
      <c r="B34" s="255"/>
      <c r="C34" s="256"/>
      <c r="D34" s="256"/>
      <c r="E34" s="257"/>
      <c r="F34" s="134"/>
      <c r="J34" s="133"/>
      <c r="K34" s="133"/>
      <c r="S34" s="134"/>
      <c r="T34" s="134"/>
      <c r="X34" s="133"/>
      <c r="Y34" s="133"/>
      <c r="Z34" s="126"/>
      <c r="AA34" s="126"/>
      <c r="AB34" s="126"/>
      <c r="AC34" s="126"/>
      <c r="AD34" s="126"/>
    </row>
    <row r="35" spans="2:30" x14ac:dyDescent="0.25">
      <c r="B35" s="255"/>
      <c r="C35" s="256"/>
      <c r="D35" s="256"/>
      <c r="E35" s="257"/>
      <c r="F35" s="134"/>
      <c r="J35" s="133"/>
      <c r="K35" s="133"/>
      <c r="S35" s="134"/>
      <c r="T35" s="134"/>
      <c r="X35" s="133"/>
      <c r="Y35" s="133"/>
      <c r="Z35" s="126"/>
      <c r="AA35" s="126"/>
      <c r="AB35" s="126"/>
      <c r="AC35" s="126"/>
      <c r="AD35" s="126"/>
    </row>
    <row r="36" spans="2:30" x14ac:dyDescent="0.25">
      <c r="B36" s="255"/>
      <c r="C36" s="256"/>
      <c r="D36" s="256"/>
      <c r="E36" s="257"/>
      <c r="F36" s="134"/>
      <c r="J36" s="133"/>
      <c r="K36" s="133"/>
      <c r="S36" s="134"/>
      <c r="T36" s="134"/>
      <c r="X36" s="133"/>
      <c r="Y36" s="133"/>
      <c r="Z36" s="126"/>
      <c r="AA36" s="126"/>
      <c r="AB36" s="126"/>
      <c r="AC36" s="126"/>
      <c r="AD36" s="126"/>
    </row>
    <row r="37" spans="2:30" x14ac:dyDescent="0.25">
      <c r="B37" s="255"/>
      <c r="C37" s="256"/>
      <c r="D37" s="256"/>
      <c r="E37" s="257"/>
      <c r="F37" s="134"/>
      <c r="J37" s="133"/>
      <c r="K37" s="133"/>
      <c r="S37" s="134"/>
      <c r="T37" s="134"/>
      <c r="X37" s="133"/>
      <c r="Y37" s="133"/>
      <c r="Z37" s="126"/>
      <c r="AA37" s="126"/>
      <c r="AB37" s="126"/>
      <c r="AC37" s="126"/>
      <c r="AD37" s="126"/>
    </row>
    <row r="38" spans="2:30" x14ac:dyDescent="0.25">
      <c r="B38" s="255"/>
      <c r="C38" s="256"/>
      <c r="D38" s="256"/>
      <c r="E38" s="257"/>
      <c r="F38" s="134"/>
      <c r="J38" s="133"/>
      <c r="K38" s="133"/>
      <c r="S38" s="134"/>
      <c r="T38" s="134"/>
      <c r="X38" s="133"/>
      <c r="Y38" s="133"/>
      <c r="Z38" s="126"/>
      <c r="AA38" s="126"/>
      <c r="AB38" s="126"/>
      <c r="AC38" s="126"/>
      <c r="AD38" s="126"/>
    </row>
    <row r="39" spans="2:30" x14ac:dyDescent="0.25">
      <c r="B39" s="255"/>
      <c r="C39" s="256"/>
      <c r="D39" s="256"/>
      <c r="E39" s="256"/>
      <c r="F39" s="257"/>
      <c r="G39" s="134"/>
      <c r="J39" s="133"/>
      <c r="K39" s="133"/>
      <c r="T39" s="134"/>
      <c r="U39" s="134"/>
      <c r="X39" s="133"/>
      <c r="Y39" s="133"/>
      <c r="AA39" s="126"/>
      <c r="AB39" s="126"/>
      <c r="AC39" s="126"/>
      <c r="AD39" s="126"/>
    </row>
    <row r="40" spans="2:30" x14ac:dyDescent="0.25">
      <c r="F40" s="134"/>
      <c r="G40" s="134"/>
      <c r="J40" s="133"/>
      <c r="K40" s="133"/>
      <c r="T40" s="134"/>
      <c r="U40" s="134"/>
      <c r="X40" s="133"/>
      <c r="Y40" s="133"/>
      <c r="AA40" s="126"/>
      <c r="AB40" s="126"/>
      <c r="AC40" s="126"/>
      <c r="AD40" s="126"/>
    </row>
    <row r="41" spans="2:30" x14ac:dyDescent="0.25">
      <c r="F41" s="134"/>
      <c r="G41" s="134"/>
      <c r="J41" s="133"/>
      <c r="K41" s="133"/>
      <c r="T41" s="134"/>
      <c r="U41" s="134"/>
      <c r="X41" s="133"/>
      <c r="Y41" s="133"/>
      <c r="AA41" s="126"/>
      <c r="AB41" s="126"/>
      <c r="AC41" s="126"/>
      <c r="AD41" s="126"/>
    </row>
  </sheetData>
  <customSheetViews>
    <customSheetView guid="{32A281B9-28FB-4D0E-8C01-BFBADAC8C3C9}">
      <selection activeCell="AB13" sqref="AB13"/>
      <pageMargins left="0.7" right="0.7" top="0.75" bottom="0.75" header="0.3" footer="0.3"/>
      <pageSetup orientation="portrait" r:id="rId1"/>
    </customSheetView>
    <customSheetView guid="{77799D3C-38E2-410A-80FA-AECD8E6AB89B}" showPageBreaks="1" fitToPage="1">
      <selection activeCell="L19" sqref="L19"/>
      <pageMargins left="0.70866141732283472" right="0.70866141732283472" top="0.74803149606299213" bottom="0.74803149606299213" header="0.31496062992125984" footer="0.31496062992125984"/>
      <pageSetup scale="45" fitToHeight="2" orientation="landscape" r:id="rId2"/>
    </customSheetView>
    <customSheetView guid="{B426F9F8-EB1A-4D7B-9478-7E22D414CC12}">
      <selection activeCell="N13" sqref="N13"/>
      <pageMargins left="0.7" right="0.7" top="0.75" bottom="0.75" header="0.3" footer="0.3"/>
      <pageSetup orientation="portrait" r:id="rId3"/>
    </customSheetView>
    <customSheetView guid="{DD0EA6D3-BC8C-40D3-B12F-B88059C8E3DC}">
      <selection activeCell="N13" sqref="N13"/>
      <pageMargins left="0.7" right="0.7" top="0.75" bottom="0.75" header="0.3" footer="0.3"/>
      <pageSetup orientation="portrait" r:id="rId4"/>
    </customSheetView>
    <customSheetView guid="{2A6315F5-C9A2-43A7-B337-00FD30A3EB26}">
      <selection activeCell="B27" sqref="B27"/>
      <pageMargins left="0.7" right="0.7" top="0.75" bottom="0.75" header="0.3" footer="0.3"/>
      <pageSetup orientation="portrait" r:id="rId5"/>
    </customSheetView>
    <customSheetView guid="{AD504361-49F3-4986-BDBF-FB73E2299976}">
      <selection activeCell="E14" sqref="E14"/>
      <pageMargins left="0.7" right="0.7" top="0.75" bottom="0.75" header="0.3" footer="0.3"/>
      <pageSetup orientation="portrait" r:id="rId6"/>
    </customSheetView>
    <customSheetView guid="{D1BD168D-40B4-46AB-88B7-64C22520CFA0}">
      <selection activeCell="E14" sqref="E14"/>
      <pageMargins left="0.7" right="0.7" top="0.75" bottom="0.75" header="0.3" footer="0.3"/>
      <pageSetup orientation="portrait" r:id="rId7"/>
    </customSheetView>
    <customSheetView guid="{56BC42A3-D967-4F27-BD5A-CB0B8CB7F657}">
      <selection activeCell="O16" sqref="O16"/>
      <pageMargins left="0.7" right="0.7" top="0.75" bottom="0.75" header="0.3" footer="0.3"/>
      <pageSetup orientation="portrait" r:id="rId8"/>
    </customSheetView>
    <customSheetView guid="{13EBDE9D-EC74-4522-9EED-363E735B4A78}">
      <selection activeCell="C4" sqref="C4"/>
      <pageMargins left="0.7" right="0.7" top="0.75" bottom="0.75" header="0.3" footer="0.3"/>
      <pageSetup orientation="portrait" r:id="rId9"/>
    </customSheetView>
  </customSheetViews>
  <mergeCells count="4">
    <mergeCell ref="A1:A2"/>
    <mergeCell ref="B1:B2"/>
    <mergeCell ref="C1:P1"/>
    <mergeCell ref="Q1:AD1"/>
  </mergeCells>
  <pageMargins left="0.7" right="0.7" top="0.75" bottom="0.75" header="0.3" footer="0.3"/>
  <pageSetup orientation="portrait"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N18" sqref="N18"/>
    </sheetView>
  </sheetViews>
  <sheetFormatPr defaultRowHeight="15" x14ac:dyDescent="0.25"/>
  <cols>
    <col min="1" max="1" width="10" bestFit="1" customWidth="1"/>
    <col min="4" max="4" width="14.7109375" bestFit="1" customWidth="1"/>
    <col min="14" max="14" width="12.28515625" customWidth="1"/>
  </cols>
  <sheetData>
    <row r="1" spans="1:14" x14ac:dyDescent="0.25">
      <c r="A1">
        <v>20882.318840579715</v>
      </c>
      <c r="D1">
        <v>107493</v>
      </c>
      <c r="I1">
        <v>2016</v>
      </c>
      <c r="J1">
        <v>33.799999999999997</v>
      </c>
    </row>
    <row r="2" spans="1:14" x14ac:dyDescent="0.25">
      <c r="A2" s="111">
        <f>(51460-A1)/51460</f>
        <v>0.5942028985507245</v>
      </c>
      <c r="D2">
        <v>31727</v>
      </c>
      <c r="G2">
        <v>270</v>
      </c>
      <c r="I2">
        <v>2017</v>
      </c>
      <c r="J2">
        <v>32.799999999999997</v>
      </c>
    </row>
    <row r="3" spans="1:14" x14ac:dyDescent="0.25">
      <c r="D3">
        <v>4222</v>
      </c>
      <c r="G3">
        <v>1135</v>
      </c>
      <c r="I3">
        <v>2018</v>
      </c>
      <c r="J3">
        <v>33.700000000000003</v>
      </c>
    </row>
    <row r="4" spans="1:14" x14ac:dyDescent="0.25">
      <c r="A4" s="112">
        <v>217867</v>
      </c>
      <c r="B4" t="s">
        <v>185</v>
      </c>
      <c r="D4" s="122">
        <v>143442</v>
      </c>
      <c r="G4">
        <f>SUM(G2:G3)</f>
        <v>1405</v>
      </c>
      <c r="I4">
        <v>2019</v>
      </c>
      <c r="J4">
        <v>32.5</v>
      </c>
    </row>
    <row r="5" spans="1:14" x14ac:dyDescent="0.25">
      <c r="A5" s="112" t="e">
        <f>A4+(#REF!+#REF!)*0.5</f>
        <v>#REF!</v>
      </c>
      <c r="J5">
        <f>J1-J2</f>
        <v>1</v>
      </c>
    </row>
    <row r="6" spans="1:14" x14ac:dyDescent="0.25">
      <c r="D6">
        <f>6527464*0.005</f>
        <v>32637.32</v>
      </c>
      <c r="J6">
        <f>J3-J4</f>
        <v>1.2000000000000028</v>
      </c>
    </row>
    <row r="7" spans="1:14" x14ac:dyDescent="0.25">
      <c r="J7">
        <f>AVERAGE(J5:J6)</f>
        <v>1.1000000000000014</v>
      </c>
    </row>
    <row r="8" spans="1:14" x14ac:dyDescent="0.25">
      <c r="A8" s="111" t="e">
        <f>#REF!/6527464</f>
        <v>#REF!</v>
      </c>
      <c r="D8">
        <v>13.8</v>
      </c>
      <c r="G8" s="124">
        <v>327211</v>
      </c>
    </row>
    <row r="9" spans="1:14" ht="15.75" thickBot="1" x14ac:dyDescent="0.3">
      <c r="D9">
        <v>12.7</v>
      </c>
      <c r="G9" s="125">
        <v>343320</v>
      </c>
    </row>
    <row r="10" spans="1:14" ht="15.75" thickBot="1" x14ac:dyDescent="0.3">
      <c r="A10" s="114">
        <v>234504</v>
      </c>
      <c r="D10">
        <v>12.7</v>
      </c>
      <c r="G10" s="117">
        <v>670531</v>
      </c>
    </row>
    <row r="11" spans="1:14" ht="15.75" thickBot="1" x14ac:dyDescent="0.3">
      <c r="A11" s="114">
        <v>9310</v>
      </c>
      <c r="D11">
        <v>13.9</v>
      </c>
    </row>
    <row r="12" spans="1:14" x14ac:dyDescent="0.25">
      <c r="A12" s="113">
        <f>A10/A11</f>
        <v>25.188399570354459</v>
      </c>
      <c r="D12">
        <f>D8-D9</f>
        <v>1.1000000000000014</v>
      </c>
    </row>
    <row r="13" spans="1:14" x14ac:dyDescent="0.25">
      <c r="A13" s="113"/>
      <c r="D13">
        <f>ABS(D10-D11)</f>
        <v>1.2000000000000011</v>
      </c>
    </row>
    <row r="14" spans="1:14" ht="15.75" thickBot="1" x14ac:dyDescent="0.3">
      <c r="A14" s="115">
        <v>572504</v>
      </c>
      <c r="B14" t="s">
        <v>186</v>
      </c>
      <c r="D14">
        <f>AVERAGE(D12:D13)</f>
        <v>1.1500000000000012</v>
      </c>
    </row>
    <row r="15" spans="1:14" ht="15.75" thickBot="1" x14ac:dyDescent="0.3">
      <c r="A15" s="114">
        <v>26813</v>
      </c>
    </row>
    <row r="16" spans="1:14" x14ac:dyDescent="0.25">
      <c r="A16" s="115">
        <v>91</v>
      </c>
      <c r="D16">
        <f>34000/(1)</f>
        <v>34000</v>
      </c>
      <c r="N16">
        <v>125279172.0055294</v>
      </c>
    </row>
    <row r="17" spans="1:14" x14ac:dyDescent="0.25">
      <c r="A17" s="116">
        <f>A14/(A15+A16)</f>
        <v>21.279512340172467</v>
      </c>
      <c r="N17">
        <v>84500000</v>
      </c>
    </row>
    <row r="18" spans="1:14" x14ac:dyDescent="0.25">
      <c r="D18">
        <v>53101</v>
      </c>
      <c r="E18">
        <f>D18+D19</f>
        <v>65417</v>
      </c>
      <c r="G18">
        <v>1421</v>
      </c>
      <c r="H18">
        <v>5000</v>
      </c>
      <c r="N18">
        <f>N16/N17</f>
        <v>1.4825937515447267</v>
      </c>
    </row>
    <row r="19" spans="1:14" x14ac:dyDescent="0.25">
      <c r="A19">
        <f>SUM(572504+26813+91)*0.1+572504*0.1</f>
        <v>117191.20000000001</v>
      </c>
      <c r="D19">
        <v>12316</v>
      </c>
      <c r="E19">
        <v>34000</v>
      </c>
      <c r="G19">
        <f>D18+D19</f>
        <v>65417</v>
      </c>
      <c r="H19">
        <v>65417</v>
      </c>
    </row>
    <row r="20" spans="1:14" x14ac:dyDescent="0.25">
      <c r="D20">
        <v>20050</v>
      </c>
      <c r="E20" s="111">
        <f>E19/E18</f>
        <v>0.51974257456012962</v>
      </c>
      <c r="G20" s="123">
        <f>G18/G19</f>
        <v>2.17221823073513E-2</v>
      </c>
      <c r="H20" s="123">
        <f>H18/H19</f>
        <v>7.6432731552960237E-2</v>
      </c>
    </row>
    <row r="21" spans="1:14" x14ac:dyDescent="0.25">
      <c r="A21">
        <v>2340</v>
      </c>
      <c r="D21" s="111">
        <f>D20/SUM(D18:D20)</f>
        <v>0.23459346882422455</v>
      </c>
    </row>
    <row r="22" spans="1:14" x14ac:dyDescent="0.25">
      <c r="A22" s="117">
        <f>467/A21*100</f>
        <v>19.957264957264957</v>
      </c>
    </row>
    <row r="24" spans="1:14" x14ac:dyDescent="0.25">
      <c r="A24">
        <v>3380569</v>
      </c>
      <c r="D24">
        <f>2242/D20</f>
        <v>0.11182044887780548</v>
      </c>
    </row>
    <row r="26" spans="1:14" x14ac:dyDescent="0.25">
      <c r="A26" s="118">
        <v>18750</v>
      </c>
      <c r="D26" s="112">
        <v>46000000</v>
      </c>
    </row>
    <row r="27" spans="1:14" x14ac:dyDescent="0.25">
      <c r="A27" s="118">
        <v>6000</v>
      </c>
      <c r="D27" s="112">
        <v>44000</v>
      </c>
    </row>
    <row r="28" spans="1:14" x14ac:dyDescent="0.25">
      <c r="A28" s="119">
        <v>335</v>
      </c>
      <c r="D28" s="112">
        <f>D26/D27</f>
        <v>1045.4545454545455</v>
      </c>
      <c r="E28">
        <f>D28*1.15</f>
        <v>1202.2727272727273</v>
      </c>
    </row>
    <row r="30" spans="1:14" x14ac:dyDescent="0.25">
      <c r="A30" s="118">
        <v>25000000</v>
      </c>
      <c r="D30" s="112">
        <v>83000000</v>
      </c>
    </row>
    <row r="31" spans="1:14" x14ac:dyDescent="0.25">
      <c r="A31" s="118">
        <v>23000000</v>
      </c>
      <c r="D31" s="112">
        <v>90000</v>
      </c>
    </row>
    <row r="32" spans="1:14" x14ac:dyDescent="0.25">
      <c r="A32" s="120">
        <v>8354271.2000000002</v>
      </c>
      <c r="D32">
        <f>D30/D31</f>
        <v>922.22222222222217</v>
      </c>
      <c r="F32">
        <v>20000</v>
      </c>
      <c r="G32">
        <v>10000</v>
      </c>
      <c r="H32" s="123">
        <f>F32*0.9/F33</f>
        <v>5.3245474356535842E-3</v>
      </c>
    </row>
    <row r="33" spans="1:9" x14ac:dyDescent="0.25">
      <c r="A33" s="121">
        <v>56354271.200000003</v>
      </c>
      <c r="F33">
        <v>3380569</v>
      </c>
      <c r="G33">
        <v>3380569</v>
      </c>
    </row>
    <row r="34" spans="1:9" x14ac:dyDescent="0.25">
      <c r="D34">
        <v>618</v>
      </c>
      <c r="F34" s="123">
        <f>F32/F33</f>
        <v>5.9161638173928707E-3</v>
      </c>
      <c r="G34" s="123">
        <f>G32/G33</f>
        <v>2.9580819086964354E-3</v>
      </c>
    </row>
    <row r="35" spans="1:9" x14ac:dyDescent="0.25">
      <c r="D35">
        <v>2500</v>
      </c>
    </row>
    <row r="36" spans="1:9" x14ac:dyDescent="0.25">
      <c r="D36" s="111">
        <f>D34/D35</f>
        <v>0.2472</v>
      </c>
    </row>
    <row r="45" spans="1:9" x14ac:dyDescent="0.25">
      <c r="C45">
        <v>68</v>
      </c>
    </row>
    <row r="46" spans="1:9" x14ac:dyDescent="0.25">
      <c r="C46">
        <v>67</v>
      </c>
      <c r="I46">
        <v>48142</v>
      </c>
    </row>
    <row r="47" spans="1:9" x14ac:dyDescent="0.25">
      <c r="C47">
        <v>65</v>
      </c>
      <c r="I47">
        <v>18271</v>
      </c>
    </row>
    <row r="48" spans="1:9" x14ac:dyDescent="0.25">
      <c r="C48">
        <v>70</v>
      </c>
      <c r="I48">
        <f>I47/I46*100</f>
        <v>37.952307756221174</v>
      </c>
    </row>
    <row r="49" spans="3:3" x14ac:dyDescent="0.25">
      <c r="C49">
        <f>AVERAGE(C45:C48)</f>
        <v>67.5</v>
      </c>
    </row>
  </sheetData>
  <customSheetViews>
    <customSheetView guid="{32A281B9-28FB-4D0E-8C01-BFBADAC8C3C9}" state="hidden">
      <selection activeCell="N18" sqref="N18"/>
      <pageMargins left="0.7" right="0.7" top="0.75" bottom="0.75" header="0.3" footer="0.3"/>
      <pageSetup paperSize="9" orientation="portrait" horizontalDpi="0" verticalDpi="0" r:id="rId1"/>
    </customSheetView>
    <customSheetView guid="{77799D3C-38E2-410A-80FA-AECD8E6AB89B}" state="hidden">
      <selection activeCell="N18" sqref="N18"/>
      <pageMargins left="0.7" right="0.7" top="0.75" bottom="0.75" header="0.3" footer="0.3"/>
      <pageSetup paperSize="9" orientation="portrait" horizontalDpi="0" verticalDpi="0" r:id="rId2"/>
    </customSheetView>
    <customSheetView guid="{B426F9F8-EB1A-4D7B-9478-7E22D414CC12}" state="hidden">
      <selection activeCell="N18" sqref="N18"/>
      <pageMargins left="0.7" right="0.7" top="0.75" bottom="0.75" header="0.3" footer="0.3"/>
      <pageSetup paperSize="9" orientation="portrait" horizontalDpi="0" verticalDpi="0" r:id="rId3"/>
    </customSheetView>
    <customSheetView guid="{DD0EA6D3-BC8C-40D3-B12F-B88059C8E3DC}" state="hidden">
      <selection activeCell="N18" sqref="N18"/>
      <pageMargins left="0.7" right="0.7" top="0.75" bottom="0.75" header="0.3" footer="0.3"/>
      <pageSetup paperSize="9" orientation="portrait" horizontalDpi="0" verticalDpi="0" r:id="rId4"/>
    </customSheetView>
    <customSheetView guid="{72B67681-E295-44ED-80A6-F4B618B242B1}" state="hidden">
      <selection activeCell="N18" sqref="N18"/>
    </customSheetView>
    <customSheetView guid="{9CD5F6CE-0E1C-42DA-A598-93523B740CBC}" state="hidden">
      <selection activeCell="N18" sqref="N18"/>
      <pageMargins left="0.7" right="0.7" top="0.75" bottom="0.75" header="0.3" footer="0.3"/>
      <pageSetup paperSize="9" orientation="portrait" horizontalDpi="0" verticalDpi="0" r:id="rId5"/>
    </customSheetView>
    <customSheetView guid="{E07B67F4-8A17-4050-B9B8-81977BCB02E2}" state="hidden">
      <selection activeCell="N18" sqref="N18"/>
      <pageMargins left="0.7" right="0.7" top="0.75" bottom="0.75" header="0.3" footer="0.3"/>
      <pageSetup paperSize="9" orientation="portrait" horizontalDpi="0" verticalDpi="0" r:id="rId6"/>
    </customSheetView>
    <customSheetView guid="{2A6315F5-C9A2-43A7-B337-00FD30A3EB26}" state="hidden">
      <selection activeCell="N18" sqref="N18"/>
      <pageMargins left="0.7" right="0.7" top="0.75" bottom="0.75" header="0.3" footer="0.3"/>
      <pageSetup paperSize="9" orientation="portrait" horizontalDpi="0" verticalDpi="0" r:id="rId7"/>
    </customSheetView>
    <customSheetView guid="{AD504361-49F3-4986-BDBF-FB73E2299976}" state="hidden">
      <selection activeCell="N18" sqref="N18"/>
      <pageMargins left="0.7" right="0.7" top="0.75" bottom="0.75" header="0.3" footer="0.3"/>
      <pageSetup paperSize="9" orientation="portrait" horizontalDpi="0" verticalDpi="0" r:id="rId8"/>
    </customSheetView>
    <customSheetView guid="{D1BD168D-40B4-46AB-88B7-64C22520CFA0}" state="hidden">
      <selection activeCell="N18" sqref="N18"/>
      <pageMargins left="0.7" right="0.7" top="0.75" bottom="0.75" header="0.3" footer="0.3"/>
      <pageSetup paperSize="9" orientation="portrait" horizontalDpi="0" verticalDpi="0" r:id="rId9"/>
    </customSheetView>
    <customSheetView guid="{56BC42A3-D967-4F27-BD5A-CB0B8CB7F657}" state="hidden">
      <selection activeCell="N18" sqref="N18"/>
      <pageMargins left="0.7" right="0.7" top="0.75" bottom="0.75" header="0.3" footer="0.3"/>
      <pageSetup paperSize="9" orientation="portrait" horizontalDpi="0" verticalDpi="0" r:id="rId10"/>
    </customSheetView>
    <customSheetView guid="{13EBDE9D-EC74-4522-9EED-363E735B4A78}" state="hidden">
      <selection activeCell="N18" sqref="N18"/>
      <pageMargins left="0.7" right="0.7" top="0.75" bottom="0.75" header="0.3" footer="0.3"/>
      <pageSetup paperSize="9" orientation="portrait" horizontalDpi="0" verticalDpi="0" r:id="rId11"/>
    </customSheetView>
  </customSheetViews>
  <pageMargins left="0.7" right="0.7" top="0.75" bottom="0.75" header="0.3" footer="0.3"/>
  <pageSetup paperSize="9" orientation="portrait" horizontalDpi="0" verticalDpi="0"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16"/>
  <sheetViews>
    <sheetView view="pageBreakPreview" zoomScale="85" zoomScaleNormal="100" zoomScaleSheetLayoutView="85" workbookViewId="0">
      <pane ySplit="2" topLeftCell="A9" activePane="bottomLeft" state="frozen"/>
      <selection pane="bottomLeft" activeCell="C3" sqref="C3:C16"/>
    </sheetView>
  </sheetViews>
  <sheetFormatPr defaultColWidth="21.42578125" defaultRowHeight="12" x14ac:dyDescent="0.25"/>
  <cols>
    <col min="1" max="1" width="16.42578125" style="2" customWidth="1"/>
    <col min="2" max="2" width="14" style="2" customWidth="1"/>
    <col min="3" max="3" width="17.140625" style="2" customWidth="1"/>
    <col min="4" max="4" width="14.28515625" style="2" bestFit="1" customWidth="1"/>
    <col min="5" max="5" width="44.28515625" style="2" customWidth="1"/>
    <col min="6" max="6" width="41.5703125" style="2" customWidth="1"/>
    <col min="7" max="8" width="14.7109375" style="4" customWidth="1"/>
    <col min="9" max="9" width="36.28515625" style="2" customWidth="1"/>
    <col min="10" max="10" width="10.7109375" style="36" customWidth="1"/>
    <col min="11" max="11" width="34.140625" style="2" customWidth="1"/>
    <col min="12" max="12" width="7.5703125" style="4" customWidth="1"/>
    <col min="13" max="16384" width="21.42578125" style="2"/>
  </cols>
  <sheetData>
    <row r="1" spans="1:12" s="4" customFormat="1" x14ac:dyDescent="0.25">
      <c r="A1" s="14">
        <v>2</v>
      </c>
      <c r="B1" s="14">
        <v>3</v>
      </c>
      <c r="C1" s="14">
        <v>6</v>
      </c>
      <c r="D1" s="14">
        <v>7</v>
      </c>
      <c r="E1" s="14">
        <v>8</v>
      </c>
      <c r="F1" s="14"/>
      <c r="G1" s="14"/>
      <c r="H1" s="14"/>
      <c r="I1" s="14">
        <v>9</v>
      </c>
      <c r="J1" s="26"/>
      <c r="K1" s="14">
        <v>10</v>
      </c>
      <c r="L1" s="14"/>
    </row>
    <row r="2" spans="1:12" s="3" customFormat="1" ht="72" x14ac:dyDescent="0.25">
      <c r="A2" s="1" t="s">
        <v>187</v>
      </c>
      <c r="B2" s="1" t="s">
        <v>188</v>
      </c>
      <c r="C2" s="1" t="s">
        <v>189</v>
      </c>
      <c r="D2" s="1" t="s">
        <v>190</v>
      </c>
      <c r="E2" s="1" t="s">
        <v>191</v>
      </c>
      <c r="F2" s="1" t="s">
        <v>192</v>
      </c>
      <c r="G2" s="1" t="s">
        <v>193</v>
      </c>
      <c r="H2" s="1" t="s">
        <v>194</v>
      </c>
      <c r="I2" s="14" t="s">
        <v>195</v>
      </c>
      <c r="J2" s="27" t="s">
        <v>196</v>
      </c>
      <c r="K2" s="1" t="s">
        <v>197</v>
      </c>
      <c r="L2" s="14" t="s">
        <v>198</v>
      </c>
    </row>
    <row r="3" spans="1:12" ht="108" x14ac:dyDescent="0.25">
      <c r="A3" s="473" t="s">
        <v>199</v>
      </c>
      <c r="B3" s="473" t="s">
        <v>200</v>
      </c>
      <c r="C3" s="476" t="s">
        <v>201</v>
      </c>
      <c r="D3" s="473" t="s">
        <v>202</v>
      </c>
      <c r="E3" s="22" t="s">
        <v>203</v>
      </c>
      <c r="F3" s="19" t="s">
        <v>204</v>
      </c>
      <c r="G3" s="78">
        <f>G5-G4</f>
        <v>83218211.999999955</v>
      </c>
      <c r="H3" s="78">
        <f>20/100*G3</f>
        <v>16643642.399999991</v>
      </c>
      <c r="I3" s="8" t="s">
        <v>205</v>
      </c>
      <c r="J3" s="30">
        <f>80/100*60/100*G5</f>
        <v>45391751.999999978</v>
      </c>
      <c r="K3" s="9" t="s">
        <v>206</v>
      </c>
      <c r="L3" s="88">
        <f>(224+93)/14*1.15*15</f>
        <v>390.58928571428567</v>
      </c>
    </row>
    <row r="4" spans="1:12" ht="60" customHeight="1" x14ac:dyDescent="0.25">
      <c r="A4" s="474"/>
      <c r="B4" s="474"/>
      <c r="C4" s="477"/>
      <c r="D4" s="474"/>
      <c r="E4" s="6"/>
      <c r="F4" s="6" t="s">
        <v>207</v>
      </c>
      <c r="G4" s="78">
        <f>20/100*60/100*G5</f>
        <v>11347937.999999994</v>
      </c>
      <c r="H4" s="78"/>
      <c r="I4" s="42"/>
      <c r="J4" s="85">
        <f>60/100*G5-J3-G4</f>
        <v>0</v>
      </c>
      <c r="K4" s="9"/>
      <c r="L4" s="38"/>
    </row>
    <row r="5" spans="1:12" x14ac:dyDescent="0.25">
      <c r="A5" s="474"/>
      <c r="B5" s="474"/>
      <c r="C5" s="477"/>
      <c r="D5" s="474"/>
      <c r="E5" s="8"/>
      <c r="F5" s="41" t="s">
        <v>208</v>
      </c>
      <c r="G5" s="82">
        <f>60/100*'ОПНО_визия евро'!C5</f>
        <v>94566149.999999955</v>
      </c>
      <c r="H5" s="78"/>
      <c r="I5" s="7"/>
      <c r="J5" s="31"/>
      <c r="K5" s="9"/>
      <c r="L5" s="39"/>
    </row>
    <row r="6" spans="1:12" ht="82.5" customHeight="1" x14ac:dyDescent="0.25">
      <c r="A6" s="474"/>
      <c r="B6" s="474"/>
      <c r="C6" s="477"/>
      <c r="D6" s="474"/>
      <c r="E6" s="24" t="s">
        <v>209</v>
      </c>
      <c r="F6" s="17" t="s">
        <v>210</v>
      </c>
      <c r="G6" s="82">
        <f>30/100*'ОПНО_визия евро'!C5</f>
        <v>47283074.999999978</v>
      </c>
      <c r="H6" s="82">
        <f>'ОПНО_визия евро'!B5-П3_Наука_Инфраструктура!H3-П3_Наука_Инфраструктура!H11</f>
        <v>5421792.6000000015</v>
      </c>
      <c r="I6" s="21" t="s">
        <v>211</v>
      </c>
      <c r="J6" s="32">
        <f>(210+359)/14*1.15*15</f>
        <v>701.08928571428567</v>
      </c>
      <c r="K6" s="9" t="s">
        <v>212</v>
      </c>
      <c r="L6" s="28">
        <f>(30+224)/14*1.15*15</f>
        <v>312.96428571428567</v>
      </c>
    </row>
    <row r="7" spans="1:12" ht="36" x14ac:dyDescent="0.25">
      <c r="A7" s="474"/>
      <c r="B7" s="474"/>
      <c r="C7" s="477"/>
      <c r="D7" s="475"/>
      <c r="E7" s="24" t="s">
        <v>213</v>
      </c>
      <c r="F7" s="19"/>
      <c r="G7" s="29"/>
      <c r="H7" s="29"/>
      <c r="I7" s="23" t="s">
        <v>214</v>
      </c>
      <c r="J7" s="33">
        <v>15</v>
      </c>
      <c r="K7" s="9"/>
      <c r="L7" s="37"/>
    </row>
    <row r="8" spans="1:12" ht="60" x14ac:dyDescent="0.25">
      <c r="A8" s="474"/>
      <c r="B8" s="474"/>
      <c r="C8" s="477"/>
      <c r="D8" s="475"/>
      <c r="E8" s="19" t="s">
        <v>215</v>
      </c>
      <c r="F8" s="19"/>
      <c r="G8" s="29"/>
      <c r="H8" s="29"/>
      <c r="I8" s="21"/>
      <c r="J8" s="34"/>
      <c r="K8" s="9"/>
      <c r="L8" s="39"/>
    </row>
    <row r="9" spans="1:12" ht="60" x14ac:dyDescent="0.25">
      <c r="A9" s="474"/>
      <c r="B9" s="474"/>
      <c r="C9" s="477"/>
      <c r="D9" s="475"/>
      <c r="E9" s="19" t="s">
        <v>216</v>
      </c>
      <c r="F9" s="19"/>
      <c r="G9" s="29"/>
      <c r="H9" s="29"/>
      <c r="I9" s="21"/>
      <c r="J9" s="34"/>
      <c r="K9" s="9"/>
      <c r="L9" s="39"/>
    </row>
    <row r="10" spans="1:12" ht="60" x14ac:dyDescent="0.25">
      <c r="A10" s="474"/>
      <c r="B10" s="474"/>
      <c r="C10" s="477"/>
      <c r="D10" s="475"/>
      <c r="E10" s="20" t="s">
        <v>217</v>
      </c>
      <c r="F10" s="19"/>
      <c r="G10" s="29"/>
      <c r="H10" s="22"/>
      <c r="I10" s="21"/>
      <c r="J10" s="35"/>
      <c r="K10" s="9"/>
      <c r="L10" s="38"/>
    </row>
    <row r="11" spans="1:12" ht="48" x14ac:dyDescent="0.25">
      <c r="A11" s="474"/>
      <c r="B11" s="474"/>
      <c r="C11" s="477"/>
      <c r="D11" s="475"/>
      <c r="E11" s="24" t="s">
        <v>218</v>
      </c>
      <c r="F11" s="17" t="s">
        <v>219</v>
      </c>
      <c r="G11" s="82">
        <f>10/100*'ОПНО_визия евро'!C5</f>
        <v>15761024.999999994</v>
      </c>
      <c r="H11" s="83">
        <f>60/100*G11</f>
        <v>9456614.9999999963</v>
      </c>
      <c r="I11" s="15" t="s">
        <v>220</v>
      </c>
      <c r="J11" s="35">
        <f>15*3</f>
        <v>45</v>
      </c>
      <c r="K11" s="9" t="s">
        <v>221</v>
      </c>
      <c r="L11" s="88">
        <f>50/100*L6</f>
        <v>156.48214285714283</v>
      </c>
    </row>
    <row r="12" spans="1:12" ht="24" x14ac:dyDescent="0.25">
      <c r="A12" s="474"/>
      <c r="B12" s="474"/>
      <c r="C12" s="477"/>
      <c r="D12" s="475"/>
      <c r="E12" s="19" t="s">
        <v>222</v>
      </c>
      <c r="F12" s="19"/>
      <c r="G12" s="29"/>
      <c r="H12" s="40"/>
      <c r="I12" s="16"/>
      <c r="J12" s="33"/>
      <c r="K12" s="9"/>
      <c r="L12" s="39"/>
    </row>
    <row r="13" spans="1:12" ht="84" x14ac:dyDescent="0.25">
      <c r="A13" s="474"/>
      <c r="B13" s="474"/>
      <c r="C13" s="477"/>
      <c r="D13" s="475"/>
      <c r="E13" s="19" t="s">
        <v>223</v>
      </c>
      <c r="F13" s="19"/>
      <c r="G13" s="29"/>
      <c r="H13" s="40"/>
      <c r="I13" s="21"/>
      <c r="J13" s="34"/>
      <c r="K13" s="9"/>
      <c r="L13" s="39"/>
    </row>
    <row r="14" spans="1:12" x14ac:dyDescent="0.25">
      <c r="A14" s="474"/>
      <c r="B14" s="474"/>
      <c r="C14" s="477"/>
      <c r="D14" s="475"/>
      <c r="E14" s="19" t="s">
        <v>224</v>
      </c>
      <c r="F14" s="19"/>
      <c r="G14" s="29"/>
      <c r="H14" s="40"/>
      <c r="I14" s="21"/>
      <c r="J14" s="34"/>
      <c r="K14" s="9"/>
      <c r="L14" s="39"/>
    </row>
    <row r="15" spans="1:12" x14ac:dyDescent="0.25">
      <c r="A15" s="474"/>
      <c r="B15" s="474"/>
      <c r="C15" s="477"/>
      <c r="D15" s="475"/>
      <c r="E15" s="18" t="s">
        <v>225</v>
      </c>
      <c r="F15" s="81"/>
      <c r="G15" s="39"/>
      <c r="H15" s="84"/>
      <c r="I15" s="25"/>
      <c r="J15" s="34"/>
      <c r="K15" s="9"/>
      <c r="L15" s="38"/>
    </row>
    <row r="16" spans="1:12" ht="48" x14ac:dyDescent="0.25">
      <c r="A16" s="478"/>
      <c r="B16" s="478"/>
      <c r="C16" s="477"/>
      <c r="D16" s="474"/>
      <c r="E16" s="79" t="s">
        <v>226</v>
      </c>
      <c r="F16" s="20"/>
      <c r="G16" s="22"/>
      <c r="H16" s="80"/>
      <c r="I16" s="25" t="s">
        <v>227</v>
      </c>
      <c r="J16" s="32">
        <f>15*1</f>
        <v>15</v>
      </c>
      <c r="K16" s="9"/>
      <c r="L16" s="39"/>
    </row>
  </sheetData>
  <customSheetViews>
    <customSheetView guid="{32A281B9-28FB-4D0E-8C01-BFBADAC8C3C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
    </customSheetView>
    <customSheetView guid="{77799D3C-38E2-410A-80FA-AECD8E6AB89B}"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2"/>
    </customSheetView>
    <customSheetView guid="{B426F9F8-EB1A-4D7B-9478-7E22D414CC1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3"/>
    </customSheetView>
    <customSheetView guid="{DD0EA6D3-BC8C-40D3-B12F-B88059C8E3D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4"/>
    </customSheetView>
    <customSheetView guid="{72B67681-E295-44ED-80A6-F4B618B242B1}" scale="85" showPageBreaks="1" state="hidden" view="pageBreakPreview">
      <pane ySplit="2" topLeftCell="A9" activePane="bottomLeft" state="frozen"/>
      <selection pane="bottomLeft" activeCell="C3" sqref="C3:C16"/>
    </customSheetView>
    <customSheetView guid="{9CD5F6CE-0E1C-42DA-A598-93523B740CB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5"/>
    </customSheetView>
    <customSheetView guid="{E07B67F4-8A17-4050-B9B8-81977BCB02E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6"/>
    </customSheetView>
    <customSheetView guid="{2A6315F5-C9A2-43A7-B337-00FD30A3EB2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7"/>
    </customSheetView>
    <customSheetView guid="{AD504361-49F3-4986-BDBF-FB73E229997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8"/>
    </customSheetView>
    <customSheetView guid="{D1BD168D-40B4-46AB-88B7-64C22520CFA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9"/>
    </customSheetView>
    <customSheetView guid="{56BC42A3-D967-4F27-BD5A-CB0B8CB7F657}"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0"/>
    </customSheetView>
    <customSheetView guid="{13EBDE9D-EC74-4522-9EED-363E735B4A7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1"/>
    </customSheetView>
  </customSheetViews>
  <mergeCells count="4">
    <mergeCell ref="D3:D16"/>
    <mergeCell ref="C3:C16"/>
    <mergeCell ref="B3:B16"/>
    <mergeCell ref="A3:A16"/>
  </mergeCells>
  <pageMargins left="0.7" right="0.7" top="0.75" bottom="0.75" header="0.3" footer="0.3"/>
  <pageSetup paperSize="9" scale="49" orientation="landscape" r:id="rId1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1"/>
  <sheetViews>
    <sheetView view="pageBreakPreview" zoomScale="90" zoomScaleNormal="100" zoomScaleSheetLayoutView="90" workbookViewId="0">
      <pane ySplit="2" topLeftCell="A3" activePane="bottomLeft" state="frozen"/>
      <selection pane="bottomLeft" activeCell="C3" sqref="C3:C13"/>
    </sheetView>
  </sheetViews>
  <sheetFormatPr defaultColWidth="21.42578125" defaultRowHeight="15" x14ac:dyDescent="0.25"/>
  <cols>
    <col min="1" max="1" width="84.140625" style="2" bestFit="1" customWidth="1"/>
    <col min="2" max="2" width="22" style="2" bestFit="1" customWidth="1"/>
    <col min="3" max="3" width="12.85546875" style="2" bestFit="1" customWidth="1"/>
    <col min="4" max="4" width="21.140625" style="2" bestFit="1" customWidth="1"/>
    <col min="5" max="5" width="51.5703125" style="2" bestFit="1" customWidth="1"/>
    <col min="6" max="6" width="47.28515625" style="2" bestFit="1" customWidth="1"/>
    <col min="7" max="7" width="13.7109375" style="2" customWidth="1"/>
    <col min="8" max="8" width="12.7109375" style="2" customWidth="1"/>
    <col min="9" max="9" width="31" style="2" bestFit="1" customWidth="1"/>
    <col min="10" max="10" width="9" style="2" bestFit="1" customWidth="1"/>
    <col min="11" max="11" width="22.7109375" style="2" bestFit="1" customWidth="1"/>
    <col min="12" max="12" width="9" style="2" bestFit="1" customWidth="1"/>
    <col min="13" max="13" width="21.28515625" style="2" customWidth="1"/>
    <col min="14" max="14" width="21.42578125" style="5"/>
    <col min="15" max="16384" width="21.42578125" style="2"/>
  </cols>
  <sheetData>
    <row r="1" spans="1:14" s="4" customFormat="1" ht="12" x14ac:dyDescent="0.25">
      <c r="A1" s="1">
        <v>2</v>
      </c>
      <c r="B1" s="1">
        <v>3</v>
      </c>
      <c r="C1" s="1">
        <v>6</v>
      </c>
      <c r="D1" s="1">
        <v>7</v>
      </c>
      <c r="E1" s="1">
        <v>8</v>
      </c>
      <c r="F1" s="1">
        <v>9</v>
      </c>
      <c r="G1" s="1">
        <v>10</v>
      </c>
      <c r="H1" s="1"/>
      <c r="I1" s="1">
        <v>11</v>
      </c>
      <c r="J1" s="1">
        <v>12</v>
      </c>
      <c r="K1" s="1">
        <v>13</v>
      </c>
      <c r="L1" s="1">
        <v>14</v>
      </c>
      <c r="M1" s="1">
        <v>15</v>
      </c>
    </row>
    <row r="2" spans="1:14" s="4" customFormat="1" ht="72" x14ac:dyDescent="0.25">
      <c r="A2" s="1" t="s">
        <v>228</v>
      </c>
      <c r="B2" s="1" t="s">
        <v>229</v>
      </c>
      <c r="C2" s="1" t="s">
        <v>230</v>
      </c>
      <c r="D2" s="1" t="s">
        <v>231</v>
      </c>
      <c r="E2" s="1" t="s">
        <v>232</v>
      </c>
      <c r="F2" s="1" t="s">
        <v>233</v>
      </c>
      <c r="G2" s="1" t="s">
        <v>234</v>
      </c>
      <c r="H2" s="1" t="s">
        <v>235</v>
      </c>
      <c r="I2" s="1" t="s">
        <v>236</v>
      </c>
      <c r="J2" s="1" t="s">
        <v>237</v>
      </c>
      <c r="K2" s="14" t="s">
        <v>238</v>
      </c>
      <c r="L2" s="14" t="s">
        <v>239</v>
      </c>
      <c r="M2" s="14" t="s">
        <v>240</v>
      </c>
    </row>
    <row r="3" spans="1:14" ht="72" customHeight="1" x14ac:dyDescent="0.25">
      <c r="A3" s="479" t="s">
        <v>241</v>
      </c>
      <c r="B3" s="488" t="s">
        <v>242</v>
      </c>
      <c r="C3" s="485" t="s">
        <v>243</v>
      </c>
      <c r="D3" s="482" t="str">
        <f>П3_Наука_Инфраструктура!$D$3</f>
        <v>Специфична цел i) Засилване на капацитета за научни изследвания и иновации и на въвеждането на модерни технологии</v>
      </c>
      <c r="E3" s="24" t="s">
        <v>244</v>
      </c>
      <c r="F3" s="17" t="s">
        <v>245</v>
      </c>
      <c r="G3" s="82">
        <f>G14-G8</f>
        <v>63044099.999999985</v>
      </c>
      <c r="H3" s="82">
        <f>20/100*G14-H8</f>
        <v>1801260</v>
      </c>
      <c r="I3" s="21" t="s">
        <v>246</v>
      </c>
      <c r="J3" s="102">
        <f>G14/70*100/3500000*10</f>
        <v>367.60408163265299</v>
      </c>
      <c r="K3" s="103" t="s">
        <v>247</v>
      </c>
      <c r="L3" s="104">
        <f>H20</f>
        <v>233.42859183673463</v>
      </c>
      <c r="M3" s="476" t="s">
        <v>248</v>
      </c>
      <c r="N3" s="2"/>
    </row>
    <row r="4" spans="1:14" ht="36" x14ac:dyDescent="0.25">
      <c r="A4" s="475"/>
      <c r="B4" s="489"/>
      <c r="C4" s="486"/>
      <c r="D4" s="483"/>
      <c r="E4" s="24" t="s">
        <v>249</v>
      </c>
      <c r="F4" s="19"/>
      <c r="G4" s="29"/>
      <c r="H4" s="29"/>
      <c r="I4" s="23" t="s">
        <v>250</v>
      </c>
      <c r="J4" s="100">
        <v>15</v>
      </c>
      <c r="K4" s="81"/>
      <c r="L4" s="105"/>
      <c r="M4" s="477"/>
      <c r="N4" s="2"/>
    </row>
    <row r="5" spans="1:14" ht="24" x14ac:dyDescent="0.25">
      <c r="A5" s="475"/>
      <c r="B5" s="489"/>
      <c r="C5" s="486"/>
      <c r="D5" s="483"/>
      <c r="E5" s="19" t="s">
        <v>251</v>
      </c>
      <c r="F5" s="19"/>
      <c r="G5" s="29"/>
      <c r="H5" s="29"/>
      <c r="I5" s="21"/>
      <c r="J5" s="101"/>
      <c r="K5" s="81"/>
      <c r="L5" s="105"/>
      <c r="M5" s="477"/>
      <c r="N5" s="2"/>
    </row>
    <row r="6" spans="1:14" ht="48" x14ac:dyDescent="0.25">
      <c r="A6" s="475"/>
      <c r="B6" s="489"/>
      <c r="C6" s="486"/>
      <c r="D6" s="483"/>
      <c r="E6" s="19" t="s">
        <v>252</v>
      </c>
      <c r="F6" s="19"/>
      <c r="G6" s="29"/>
      <c r="H6" s="29"/>
      <c r="I6" s="21"/>
      <c r="J6" s="101"/>
      <c r="K6" s="81"/>
      <c r="L6" s="105"/>
      <c r="M6" s="477"/>
      <c r="N6" s="2"/>
    </row>
    <row r="7" spans="1:14" ht="48" x14ac:dyDescent="0.25">
      <c r="A7" s="475"/>
      <c r="B7" s="489"/>
      <c r="C7" s="486"/>
      <c r="D7" s="483"/>
      <c r="E7" s="20" t="s">
        <v>253</v>
      </c>
      <c r="F7" s="19"/>
      <c r="G7" s="29"/>
      <c r="H7" s="22"/>
      <c r="I7" s="21"/>
      <c r="J7" s="99"/>
      <c r="K7" s="18"/>
      <c r="L7" s="105"/>
      <c r="M7" s="477"/>
      <c r="N7" s="2"/>
    </row>
    <row r="8" spans="1:14" ht="36" x14ac:dyDescent="0.25">
      <c r="A8" s="475"/>
      <c r="B8" s="489"/>
      <c r="C8" s="486"/>
      <c r="D8" s="483"/>
      <c r="E8" s="24" t="s">
        <v>254</v>
      </c>
      <c r="F8" s="17" t="s">
        <v>255</v>
      </c>
      <c r="G8" s="82">
        <f>30/100*G14</f>
        <v>27018899.999999996</v>
      </c>
      <c r="H8" s="83">
        <f>60/100*G8</f>
        <v>16211339.999999996</v>
      </c>
      <c r="I8" s="15" t="s">
        <v>256</v>
      </c>
      <c r="J8" s="99">
        <f>37*1</f>
        <v>37</v>
      </c>
      <c r="K8" s="81" t="s">
        <v>257</v>
      </c>
      <c r="L8" s="106">
        <f>50/100*L3</f>
        <v>116.71429591836731</v>
      </c>
      <c r="M8" s="477"/>
      <c r="N8" s="2"/>
    </row>
    <row r="9" spans="1:14" ht="24" x14ac:dyDescent="0.25">
      <c r="A9" s="475"/>
      <c r="B9" s="489"/>
      <c r="C9" s="486"/>
      <c r="D9" s="483"/>
      <c r="E9" s="19" t="s">
        <v>258</v>
      </c>
      <c r="F9" s="19"/>
      <c r="G9" s="29"/>
      <c r="H9" s="40"/>
      <c r="I9" s="16"/>
      <c r="J9" s="100"/>
      <c r="K9" s="81"/>
      <c r="L9" s="105"/>
      <c r="M9" s="477"/>
    </row>
    <row r="10" spans="1:14" ht="60" x14ac:dyDescent="0.25">
      <c r="A10" s="475"/>
      <c r="B10" s="489"/>
      <c r="C10" s="486"/>
      <c r="D10" s="483"/>
      <c r="E10" s="19" t="s">
        <v>259</v>
      </c>
      <c r="F10" s="19"/>
      <c r="G10" s="29"/>
      <c r="H10" s="40"/>
      <c r="I10" s="21"/>
      <c r="J10" s="101"/>
      <c r="K10" s="81"/>
      <c r="L10" s="105"/>
      <c r="M10" s="477"/>
    </row>
    <row r="11" spans="1:14" x14ac:dyDescent="0.25">
      <c r="A11" s="475"/>
      <c r="B11" s="489"/>
      <c r="C11" s="486"/>
      <c r="D11" s="483"/>
      <c r="E11" s="19" t="s">
        <v>260</v>
      </c>
      <c r="F11" s="19"/>
      <c r="G11" s="29"/>
      <c r="H11" s="40"/>
      <c r="I11" s="21"/>
      <c r="J11" s="101"/>
      <c r="K11" s="81"/>
      <c r="L11" s="105"/>
      <c r="M11" s="477"/>
    </row>
    <row r="12" spans="1:14" x14ac:dyDescent="0.25">
      <c r="A12" s="475"/>
      <c r="B12" s="489"/>
      <c r="C12" s="486"/>
      <c r="D12" s="483"/>
      <c r="E12" s="18" t="s">
        <v>261</v>
      </c>
      <c r="F12" s="81"/>
      <c r="G12" s="39"/>
      <c r="H12" s="84"/>
      <c r="I12" s="25"/>
      <c r="J12" s="101"/>
      <c r="K12" s="81"/>
      <c r="L12" s="105"/>
      <c r="M12" s="477"/>
    </row>
    <row r="13" spans="1:14" x14ac:dyDescent="0.25">
      <c r="A13" s="480"/>
      <c r="B13" s="490"/>
      <c r="C13" s="487"/>
      <c r="D13" s="484"/>
      <c r="E13" s="79" t="s">
        <v>262</v>
      </c>
      <c r="F13" s="20"/>
      <c r="G13" s="22"/>
      <c r="H13" s="80"/>
      <c r="I13" s="25" t="s">
        <v>263</v>
      </c>
      <c r="J13" s="102">
        <f>37*1</f>
        <v>37</v>
      </c>
      <c r="K13" s="18"/>
      <c r="L13" s="107"/>
      <c r="M13" s="481"/>
    </row>
    <row r="14" spans="1:14" x14ac:dyDescent="0.25">
      <c r="F14" s="4" t="s">
        <v>264</v>
      </c>
      <c r="G14" s="89">
        <f>'ОПНО_визия евро'!C6</f>
        <v>90062999.999999985</v>
      </c>
    </row>
    <row r="17" spans="6:8" ht="15.75" thickBot="1" x14ac:dyDescent="0.3"/>
    <row r="18" spans="6:8" x14ac:dyDescent="0.25">
      <c r="F18" s="91" t="s">
        <v>265</v>
      </c>
      <c r="G18" s="92">
        <f>0.4*350000000</f>
        <v>140000000</v>
      </c>
      <c r="H18" s="92">
        <f>(30+224)</f>
        <v>254</v>
      </c>
    </row>
    <row r="19" spans="6:8" x14ac:dyDescent="0.25">
      <c r="F19" s="96" t="s">
        <v>266</v>
      </c>
      <c r="G19" s="108">
        <f>G14/70*100</f>
        <v>128661428.57142854</v>
      </c>
      <c r="H19" s="93"/>
    </row>
    <row r="20" spans="6:8" ht="15.75" thickBot="1" x14ac:dyDescent="0.3">
      <c r="F20" s="94"/>
      <c r="G20" s="95">
        <f>G19/G18</f>
        <v>0.91901020408163236</v>
      </c>
      <c r="H20" s="98">
        <f>H18*G20</f>
        <v>233.42859183673463</v>
      </c>
    </row>
    <row r="21" spans="6:8" x14ac:dyDescent="0.25">
      <c r="F21" s="2" t="s">
        <v>267</v>
      </c>
      <c r="G21" s="109">
        <f>G19/3500000</f>
        <v>36.760408163265296</v>
      </c>
    </row>
  </sheetData>
  <customSheetViews>
    <customSheetView guid="{32A281B9-28FB-4D0E-8C01-BFBADAC8C3C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
    </customSheetView>
    <customSheetView guid="{77799D3C-38E2-410A-80FA-AECD8E6AB89B}"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2"/>
    </customSheetView>
    <customSheetView guid="{B426F9F8-EB1A-4D7B-9478-7E22D414CC1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3"/>
    </customSheetView>
    <customSheetView guid="{DD0EA6D3-BC8C-40D3-B12F-B88059C8E3D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4"/>
    </customSheetView>
    <customSheetView guid="{72B67681-E295-44ED-80A6-F4B618B242B1}" scale="90" showPageBreaks="1" state="hidden" view="pageBreakPreview">
      <pane ySplit="2" topLeftCell="A3" activePane="bottomLeft" state="frozen"/>
      <selection pane="bottomLeft" activeCell="C3" sqref="C3:C13"/>
    </customSheetView>
    <customSheetView guid="{9CD5F6CE-0E1C-42DA-A598-93523B740CB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5"/>
    </customSheetView>
    <customSheetView guid="{E07B67F4-8A17-4050-B9B8-81977BCB02E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6"/>
    </customSheetView>
    <customSheetView guid="{2A6315F5-C9A2-43A7-B337-00FD30A3EB2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7"/>
    </customSheetView>
    <customSheetView guid="{AD504361-49F3-4986-BDBF-FB73E229997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8"/>
    </customSheetView>
    <customSheetView guid="{D1BD168D-40B4-46AB-88B7-64C22520CFA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9"/>
    </customSheetView>
    <customSheetView guid="{56BC42A3-D967-4F27-BD5A-CB0B8CB7F657}"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0"/>
    </customSheetView>
    <customSheetView guid="{13EBDE9D-EC74-4522-9EED-363E735B4A7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1"/>
    </customSheetView>
  </customSheetViews>
  <mergeCells count="5">
    <mergeCell ref="A3:A13"/>
    <mergeCell ref="M3:M13"/>
    <mergeCell ref="D3:D13"/>
    <mergeCell ref="C3:C13"/>
    <mergeCell ref="B3:B13"/>
  </mergeCells>
  <pageMargins left="0.7" right="0.7" top="0.75" bottom="0.75" header="0.3" footer="0.3"/>
  <pageSetup paperSize="9" scale="23" orientation="portrait"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20"/>
  <sheetViews>
    <sheetView view="pageBreakPreview" zoomScale="110" zoomScaleNormal="100" zoomScaleSheetLayoutView="110" workbookViewId="0">
      <pane ySplit="2" topLeftCell="A3" activePane="bottomLeft" state="frozen"/>
      <selection pane="bottomLeft" activeCell="C3" sqref="C3:C12"/>
    </sheetView>
  </sheetViews>
  <sheetFormatPr defaultColWidth="21.42578125" defaultRowHeight="15" x14ac:dyDescent="0.25"/>
  <cols>
    <col min="1" max="1" width="12.5703125" style="2" customWidth="1"/>
    <col min="2" max="2" width="12.140625" style="2" customWidth="1"/>
    <col min="3" max="3" width="11" style="2" customWidth="1"/>
    <col min="4" max="4" width="14.28515625" style="2" bestFit="1" customWidth="1"/>
    <col min="5" max="5" width="41" style="2" customWidth="1"/>
    <col min="6" max="6" width="43.140625" style="2" customWidth="1"/>
    <col min="7" max="7" width="13.140625" style="2" customWidth="1"/>
    <col min="8" max="8" width="11.28515625" style="2" customWidth="1"/>
    <col min="9" max="9" width="30.7109375" style="2" customWidth="1"/>
    <col min="10" max="10" width="20.7109375" style="2" bestFit="1" customWidth="1"/>
    <col min="11" max="12" width="21" style="2" bestFit="1" customWidth="1"/>
    <col min="13" max="13" width="20" style="2" bestFit="1" customWidth="1"/>
    <col min="14" max="14" width="21" style="2" hidden="1" customWidth="1"/>
    <col min="15" max="15" width="21.42578125" style="2" hidden="1" customWidth="1"/>
    <col min="16" max="19" width="21.42578125" style="5"/>
    <col min="20" max="16384" width="21.42578125" style="2"/>
  </cols>
  <sheetData>
    <row r="1" spans="1:19" s="4" customFormat="1" ht="12" x14ac:dyDescent="0.25">
      <c r="A1" s="1">
        <v>2</v>
      </c>
      <c r="B1" s="1">
        <v>3</v>
      </c>
      <c r="C1" s="1">
        <v>6</v>
      </c>
      <c r="D1" s="1">
        <v>7</v>
      </c>
      <c r="E1" s="1">
        <v>8</v>
      </c>
      <c r="F1" s="1">
        <v>9</v>
      </c>
      <c r="G1" s="1">
        <v>10</v>
      </c>
      <c r="H1" s="1"/>
      <c r="I1" s="1">
        <v>11</v>
      </c>
      <c r="J1" s="1">
        <v>12</v>
      </c>
      <c r="K1" s="1">
        <v>13</v>
      </c>
      <c r="L1" s="1">
        <v>14</v>
      </c>
      <c r="M1" s="1">
        <v>15</v>
      </c>
      <c r="N1" s="1">
        <v>16</v>
      </c>
      <c r="O1" s="1">
        <v>17</v>
      </c>
    </row>
    <row r="2" spans="1:19" s="4" customFormat="1" ht="132" x14ac:dyDescent="0.25">
      <c r="A2" s="1" t="s">
        <v>268</v>
      </c>
      <c r="B2" s="1" t="s">
        <v>269</v>
      </c>
      <c r="C2" s="1" t="s">
        <v>270</v>
      </c>
      <c r="D2" s="1" t="s">
        <v>271</v>
      </c>
      <c r="E2" s="1" t="s">
        <v>272</v>
      </c>
      <c r="F2" s="1" t="s">
        <v>273</v>
      </c>
      <c r="G2" s="1" t="s">
        <v>274</v>
      </c>
      <c r="H2" s="1" t="s">
        <v>275</v>
      </c>
      <c r="I2" s="1" t="s">
        <v>276</v>
      </c>
      <c r="J2" s="1" t="s">
        <v>277</v>
      </c>
      <c r="K2" s="1" t="s">
        <v>278</v>
      </c>
      <c r="L2" s="1" t="s">
        <v>279</v>
      </c>
      <c r="M2" s="1" t="s">
        <v>280</v>
      </c>
      <c r="N2" s="1" t="s">
        <v>281</v>
      </c>
      <c r="O2" s="1" t="s">
        <v>282</v>
      </c>
    </row>
    <row r="3" spans="1:19" ht="120" x14ac:dyDescent="0.25">
      <c r="A3" s="482" t="s">
        <v>283</v>
      </c>
      <c r="B3" s="497" t="s">
        <v>284</v>
      </c>
      <c r="C3" s="493" t="s">
        <v>285</v>
      </c>
      <c r="D3" s="488" t="s">
        <v>286</v>
      </c>
      <c r="E3" s="22" t="s">
        <v>287</v>
      </c>
      <c r="F3" s="19" t="s">
        <v>288</v>
      </c>
      <c r="G3" s="78">
        <f>G5-G4</f>
        <v>27739403.999999989</v>
      </c>
      <c r="H3" s="78"/>
      <c r="I3" s="12" t="s">
        <v>289</v>
      </c>
      <c r="J3" s="30">
        <f>80/100*60/100*G5</f>
        <v>15130583.999999994</v>
      </c>
      <c r="K3" s="13" t="s">
        <v>290</v>
      </c>
      <c r="L3" s="88">
        <f>(224+93)/14*1.15*3</f>
        <v>78.117857142857133</v>
      </c>
      <c r="M3" s="495" t="s">
        <v>291</v>
      </c>
      <c r="N3" s="491"/>
      <c r="O3" s="492"/>
      <c r="P3" s="2"/>
      <c r="Q3" s="2"/>
      <c r="R3" s="2"/>
      <c r="S3" s="2"/>
    </row>
    <row r="4" spans="1:19" ht="48" x14ac:dyDescent="0.25">
      <c r="A4" s="483"/>
      <c r="B4" s="497"/>
      <c r="C4" s="494"/>
      <c r="D4" s="489"/>
      <c r="E4" s="10"/>
      <c r="F4" s="10" t="s">
        <v>292</v>
      </c>
      <c r="G4" s="78">
        <f>20/100*60/100*G5</f>
        <v>3782645.9999999986</v>
      </c>
      <c r="H4" s="78"/>
      <c r="I4" s="42"/>
      <c r="J4" s="85">
        <f>60/100*G5-J3-G4</f>
        <v>0</v>
      </c>
      <c r="K4" s="13"/>
      <c r="L4" s="38"/>
      <c r="M4" s="496"/>
      <c r="N4" s="491"/>
      <c r="O4" s="492"/>
      <c r="P4" s="2"/>
      <c r="Q4" s="2"/>
      <c r="R4" s="2"/>
      <c r="S4" s="2"/>
    </row>
    <row r="5" spans="1:19" ht="12" x14ac:dyDescent="0.25">
      <c r="A5" s="483"/>
      <c r="B5" s="497"/>
      <c r="C5" s="494"/>
      <c r="D5" s="489"/>
      <c r="E5" s="12"/>
      <c r="F5" s="41" t="s">
        <v>293</v>
      </c>
      <c r="G5" s="82">
        <f>60/100*'ОПНО_визия евро'!C4</f>
        <v>31522049.999999989</v>
      </c>
      <c r="H5" s="78"/>
      <c r="I5" s="11"/>
      <c r="J5" s="31"/>
      <c r="K5" s="13"/>
      <c r="L5" s="39"/>
      <c r="M5" s="496"/>
      <c r="N5" s="491"/>
      <c r="O5" s="492"/>
      <c r="P5" s="2"/>
      <c r="Q5" s="2"/>
      <c r="R5" s="2"/>
      <c r="S5" s="2"/>
    </row>
    <row r="6" spans="1:19" ht="72" x14ac:dyDescent="0.25">
      <c r="A6" s="483"/>
      <c r="B6" s="497"/>
      <c r="C6" s="494"/>
      <c r="D6" s="489"/>
      <c r="E6" s="24" t="s">
        <v>294</v>
      </c>
      <c r="F6" s="17" t="s">
        <v>295</v>
      </c>
      <c r="G6" s="82">
        <f>30/100*'ОПНО_визия евро'!C4</f>
        <v>15761024.999999994</v>
      </c>
      <c r="H6" s="82">
        <f>'ОПНО_визия евро'!B4-П3_Наука_Хоризонт!H11-П3_Наука_Хоризонт!H3</f>
        <v>7355144.9999999981</v>
      </c>
      <c r="I6" s="21" t="s">
        <v>296</v>
      </c>
      <c r="J6" s="32">
        <f>(210+359)/14*1.15*3+12*5</f>
        <v>200.21785714285716</v>
      </c>
      <c r="K6" s="13" t="s">
        <v>297</v>
      </c>
      <c r="L6" s="28">
        <f>(30+224)/14*1.15*3+12</f>
        <v>74.592857142857127</v>
      </c>
      <c r="M6" s="496"/>
      <c r="N6" s="491"/>
      <c r="O6" s="492"/>
      <c r="P6" s="2"/>
      <c r="Q6" s="2"/>
      <c r="R6" s="2"/>
      <c r="S6" s="2"/>
    </row>
    <row r="7" spans="1:19" ht="36" x14ac:dyDescent="0.25">
      <c r="A7" s="483"/>
      <c r="B7" s="497"/>
      <c r="C7" s="494"/>
      <c r="D7" s="489"/>
      <c r="E7" s="24" t="s">
        <v>298</v>
      </c>
      <c r="F7" s="19"/>
      <c r="G7" s="29"/>
      <c r="H7" s="29"/>
      <c r="I7" s="23" t="s">
        <v>299</v>
      </c>
      <c r="J7" s="33">
        <f>3*3+12</f>
        <v>21</v>
      </c>
      <c r="K7" s="13"/>
      <c r="L7" s="37"/>
      <c r="M7" s="496"/>
      <c r="N7" s="491"/>
      <c r="O7" s="492"/>
      <c r="P7" s="2"/>
      <c r="Q7" s="2"/>
      <c r="R7" s="2"/>
      <c r="S7" s="2"/>
    </row>
    <row r="8" spans="1:19" ht="36" x14ac:dyDescent="0.25">
      <c r="A8" s="483"/>
      <c r="B8" s="497"/>
      <c r="C8" s="494"/>
      <c r="D8" s="489"/>
      <c r="E8" s="19" t="s">
        <v>300</v>
      </c>
      <c r="F8" s="19"/>
      <c r="G8" s="29"/>
      <c r="H8" s="29"/>
      <c r="I8" s="21"/>
      <c r="J8" s="34"/>
      <c r="K8" s="13"/>
      <c r="L8" s="39"/>
      <c r="M8" s="496"/>
      <c r="N8" s="491"/>
      <c r="O8" s="492"/>
      <c r="P8" s="2"/>
      <c r="Q8" s="2"/>
      <c r="R8" s="2"/>
      <c r="S8" s="2"/>
    </row>
    <row r="9" spans="1:19" ht="60" x14ac:dyDescent="0.25">
      <c r="A9" s="483"/>
      <c r="B9" s="497"/>
      <c r="C9" s="494"/>
      <c r="D9" s="489"/>
      <c r="E9" s="19" t="s">
        <v>301</v>
      </c>
      <c r="F9" s="19"/>
      <c r="G9" s="29"/>
      <c r="H9" s="29"/>
      <c r="I9" s="21"/>
      <c r="J9" s="34"/>
      <c r="K9" s="13"/>
      <c r="L9" s="39"/>
      <c r="M9" s="496"/>
      <c r="N9" s="491"/>
      <c r="O9" s="492"/>
      <c r="P9" s="2"/>
      <c r="Q9" s="2"/>
      <c r="R9" s="2"/>
      <c r="S9" s="2"/>
    </row>
    <row r="10" spans="1:19" ht="60" x14ac:dyDescent="0.25">
      <c r="A10" s="483"/>
      <c r="B10" s="497"/>
      <c r="C10" s="494"/>
      <c r="D10" s="489"/>
      <c r="E10" s="20" t="s">
        <v>302</v>
      </c>
      <c r="F10" s="19"/>
      <c r="G10" s="29"/>
      <c r="H10" s="22"/>
      <c r="I10" s="21"/>
      <c r="J10" s="35"/>
      <c r="K10" s="13"/>
      <c r="L10" s="38"/>
      <c r="M10" s="496"/>
      <c r="N10" s="491"/>
      <c r="O10" s="492"/>
      <c r="P10" s="2"/>
      <c r="Q10" s="2"/>
      <c r="R10" s="2"/>
      <c r="S10" s="2"/>
    </row>
    <row r="11" spans="1:19" ht="48" x14ac:dyDescent="0.25">
      <c r="A11" s="483"/>
      <c r="B11" s="497"/>
      <c r="C11" s="494"/>
      <c r="D11" s="489"/>
      <c r="E11" s="24" t="s">
        <v>303</v>
      </c>
      <c r="F11" s="17" t="s">
        <v>304</v>
      </c>
      <c r="G11" s="82">
        <f>10/100*'ОПНО_визия евро'!C4</f>
        <v>5253674.9999999991</v>
      </c>
      <c r="H11" s="83">
        <f>60/100*G11</f>
        <v>3152204.9999999995</v>
      </c>
      <c r="I11" s="15" t="s">
        <v>305</v>
      </c>
      <c r="J11" s="35">
        <f>12*1</f>
        <v>12</v>
      </c>
      <c r="K11" s="13" t="s">
        <v>306</v>
      </c>
      <c r="L11" s="88">
        <f>50/100*L6</f>
        <v>37.296428571428564</v>
      </c>
      <c r="M11" s="496"/>
      <c r="N11" s="491"/>
      <c r="O11" s="492"/>
      <c r="P11" s="2"/>
      <c r="Q11" s="2"/>
      <c r="R11" s="2"/>
      <c r="S11" s="2"/>
    </row>
    <row r="12" spans="1:19" ht="24" x14ac:dyDescent="0.25">
      <c r="A12" s="483"/>
      <c r="B12" s="497"/>
      <c r="C12" s="494"/>
      <c r="D12" s="489"/>
      <c r="E12" s="19" t="s">
        <v>307</v>
      </c>
      <c r="F12" s="19"/>
      <c r="G12" s="29"/>
      <c r="H12" s="40"/>
      <c r="I12" s="16"/>
      <c r="J12" s="33"/>
      <c r="K12" s="13"/>
      <c r="L12" s="39"/>
      <c r="M12" s="496"/>
      <c r="N12" s="491"/>
    </row>
    <row r="13" spans="1:19" ht="72" x14ac:dyDescent="0.25">
      <c r="E13" s="19" t="s">
        <v>308</v>
      </c>
      <c r="F13" s="19"/>
      <c r="G13" s="29"/>
      <c r="H13" s="40"/>
      <c r="I13" s="21"/>
      <c r="J13" s="34"/>
      <c r="K13" s="13"/>
      <c r="L13" s="39"/>
    </row>
    <row r="14" spans="1:19" x14ac:dyDescent="0.25">
      <c r="E14" s="19" t="s">
        <v>309</v>
      </c>
      <c r="F14" s="19"/>
      <c r="G14" s="29"/>
      <c r="H14" s="40"/>
      <c r="I14" s="21"/>
      <c r="J14" s="34"/>
      <c r="K14" s="13"/>
      <c r="L14" s="39"/>
    </row>
    <row r="15" spans="1:19" x14ac:dyDescent="0.25">
      <c r="E15" s="18" t="s">
        <v>310</v>
      </c>
      <c r="F15" s="81"/>
      <c r="G15" s="39"/>
      <c r="H15" s="84"/>
      <c r="I15" s="25"/>
      <c r="J15" s="34"/>
      <c r="K15" s="13"/>
      <c r="L15" s="38"/>
    </row>
    <row r="16" spans="1:19" x14ac:dyDescent="0.25">
      <c r="E16" s="79"/>
      <c r="F16" s="20"/>
      <c r="G16" s="22"/>
      <c r="H16" s="80"/>
      <c r="I16" s="25"/>
      <c r="J16" s="32"/>
      <c r="K16" s="13"/>
      <c r="L16" s="39"/>
    </row>
    <row r="17" spans="6:7" x14ac:dyDescent="0.25">
      <c r="F17" s="90" t="s">
        <v>311</v>
      </c>
      <c r="G17" s="87">
        <f>G11+G6</f>
        <v>21014699.999999993</v>
      </c>
    </row>
    <row r="18" spans="6:7" ht="15.75" thickBot="1" x14ac:dyDescent="0.3"/>
    <row r="19" spans="6:7" x14ac:dyDescent="0.25">
      <c r="F19" s="110" t="s">
        <v>312</v>
      </c>
      <c r="G19" s="97">
        <v>3</v>
      </c>
    </row>
    <row r="20" spans="6:7" ht="15.75" thickBot="1" x14ac:dyDescent="0.3">
      <c r="F20" s="94" t="s">
        <v>313</v>
      </c>
      <c r="G20" s="98">
        <f>G17/70*100*1.95583/5000000</f>
        <v>11.743194485999995</v>
      </c>
    </row>
  </sheetData>
  <customSheetViews>
    <customSheetView guid="{32A281B9-28FB-4D0E-8C01-BFBADAC8C3C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
    </customSheetView>
    <customSheetView guid="{77799D3C-38E2-410A-80FA-AECD8E6AB89B}"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2"/>
    </customSheetView>
    <customSheetView guid="{B426F9F8-EB1A-4D7B-9478-7E22D414CC1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3"/>
    </customSheetView>
    <customSheetView guid="{DD0EA6D3-BC8C-40D3-B12F-B88059C8E3D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4"/>
    </customSheetView>
    <customSheetView guid="{72B67681-E295-44ED-80A6-F4B618B242B1}" scale="110" showPageBreaks="1" state="hidden" view="pageBreakPreview">
      <pane ySplit="2" topLeftCell="A3" activePane="bottomLeft" state="frozen"/>
      <selection pane="bottomLeft" activeCell="C3" sqref="C3:C12"/>
    </customSheetView>
    <customSheetView guid="{9CD5F6CE-0E1C-42DA-A598-93523B740CB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5"/>
    </customSheetView>
    <customSheetView guid="{E07B67F4-8A17-4050-B9B8-81977BCB02E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6"/>
    </customSheetView>
    <customSheetView guid="{2A6315F5-C9A2-43A7-B337-00FD30A3EB2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7"/>
    </customSheetView>
    <customSheetView guid="{AD504361-49F3-4986-BDBF-FB73E229997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8"/>
    </customSheetView>
    <customSheetView guid="{D1BD168D-40B4-46AB-88B7-64C22520CFA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9"/>
    </customSheetView>
    <customSheetView guid="{56BC42A3-D967-4F27-BD5A-CB0B8CB7F657}"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0"/>
    </customSheetView>
    <customSheetView guid="{13EBDE9D-EC74-4522-9EED-363E735B4A7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1"/>
    </customSheetView>
  </customSheetViews>
  <mergeCells count="7">
    <mergeCell ref="N3:N12"/>
    <mergeCell ref="O3:O11"/>
    <mergeCell ref="D3:D12"/>
    <mergeCell ref="C3:C12"/>
    <mergeCell ref="A3:A12"/>
    <mergeCell ref="M3:M12"/>
    <mergeCell ref="B3:B12"/>
  </mergeCells>
  <pageMargins left="0.7" right="0.7" top="0.75" bottom="0.75" header="0.3" footer="0.3"/>
  <pageSetup paperSize="9" scale="23" orientation="portrait"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Финансови бюджетни </vt:lpstr>
      <vt:lpstr>Финансов план на ПТП</vt:lpstr>
      <vt:lpstr>ОПНО_визия евро</vt:lpstr>
      <vt:lpstr>ПОКАЗАТЕЛИ ПТП </vt:lpstr>
      <vt:lpstr>Подробно разпределение </vt:lpstr>
      <vt:lpstr>работен</vt:lpstr>
      <vt:lpstr>П3_Наука_Инфраструктура</vt:lpstr>
      <vt:lpstr>П3_Наука Изследвания</vt:lpstr>
      <vt:lpstr>П3_Наука_Хоризонт</vt:lpstr>
      <vt:lpstr>'Финансов план на ПТП'!_ftnref1</vt:lpstr>
      <vt:lpstr>'ОПНО_визия евро'!Print_Area</vt:lpstr>
      <vt:lpstr>'П3_Наука Изследвания'!Print_Area</vt:lpstr>
      <vt:lpstr>П3_Наука_Инфраструктура!Print_Area</vt:lpstr>
      <vt:lpstr>П3_Наука_Хоризонт!Print_Area</vt:lpstr>
      <vt:lpstr>'ПОКАЗАТЕЛИ ПТП '!Print_Area</vt:lpstr>
      <vt:lpstr>'Финансов план на ПТП'!Print_Area</vt:lpstr>
      <vt:lpstr>'Финансови бюджетни '!Print_Area</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Popov</dc:creator>
  <cp:lastModifiedBy>Даниела Николова</cp:lastModifiedBy>
  <cp:lastPrinted>2022-07-18T13:03:02Z</cp:lastPrinted>
  <dcterms:created xsi:type="dcterms:W3CDTF">2019-11-22T10:11:00Z</dcterms:created>
  <dcterms:modified xsi:type="dcterms:W3CDTF">2022-07-22T12:14:32Z</dcterms:modified>
</cp:coreProperties>
</file>