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11.xml" ContentType="application/vnd.openxmlformats-officedocument.spreadsheetml.revisionLog+xml"/>
  <Override PartName="/xl/revisions/revisionLog6.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25.xml" ContentType="application/vnd.openxmlformats-officedocument.spreadsheetml.revisionLog+xml"/>
  <Override PartName="/xl/revisions/revisionLog30.xml" ContentType="application/vnd.openxmlformats-officedocument.spreadsheetml.revisionLog+xml"/>
  <Override PartName="/xl/revisions/revisionLog38.xml" ContentType="application/vnd.openxmlformats-officedocument.spreadsheetml.revisionLog+xml"/>
  <Override PartName="/xl/revisions/revisionLog43.xml" ContentType="application/vnd.openxmlformats-officedocument.spreadsheetml.revisionLog+xml"/>
  <Override PartName="/xl/revisions/revisionLog51.xml" ContentType="application/vnd.openxmlformats-officedocument.spreadsheetml.revisionLog+xml"/>
  <Override PartName="/xl/revisions/revisionLog46.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8.xml" ContentType="application/vnd.openxmlformats-officedocument.spreadsheetml.revisionLog+xml"/>
  <Override PartName="/xl/revisions/revisionLog33.xml" ContentType="application/vnd.openxmlformats-officedocument.spreadsheetml.revisionLog+xml"/>
  <Override PartName="/xl/revisions/revisionLog41.xml" ContentType="application/vnd.openxmlformats-officedocument.spreadsheetml.revisionLog+xml"/>
  <Override PartName="/xl/revisions/revisionLog13.xml" ContentType="application/vnd.openxmlformats-officedocument.spreadsheetml.revisionLog+xml"/>
  <Override PartName="/xl/revisions/revisionLog5.xml" ContentType="application/vnd.openxmlformats-officedocument.spreadsheetml.revisionLog+xml"/>
  <Override PartName="/xl/revisions/revisionLog36.xml" ContentType="application/vnd.openxmlformats-officedocument.spreadsheetml.revisionLog+xml"/>
  <Override PartName="/xl/revisions/revisionLog44.xml" ContentType="application/vnd.openxmlformats-officedocument.spreadsheetml.revisionLog+xml"/>
  <Override PartName="/xl/revisions/revisionLog49.xml" ContentType="application/vnd.openxmlformats-officedocument.spreadsheetml.revisionLog+xml"/>
  <Override PartName="/xl/revisions/revisionLog8.xml" ContentType="application/vnd.openxmlformats-officedocument.spreadsheetml.revisionLog+xml"/>
  <Override PartName="/xl/revisions/revisionLog15.xml" ContentType="application/vnd.openxmlformats-officedocument.spreadsheetml.revisionLog+xml"/>
  <Override PartName="/xl/revisions/revisionLog19.xml" ContentType="application/vnd.openxmlformats-officedocument.spreadsheetml.revisionLog+xml"/>
  <Override PartName="/xl/revisions/revisionLog27.xml" ContentType="application/vnd.openxmlformats-officedocument.spreadsheetml.revisionLog+xml"/>
  <Override PartName="/xl/revisions/revisionLog32.xml" ContentType="application/vnd.openxmlformats-officedocument.spreadsheetml.revisionLog+xml"/>
  <Override PartName="/xl/revisions/revisionLog35.xml" ContentType="application/vnd.openxmlformats-officedocument.spreadsheetml.revisionLog+xml"/>
  <Override PartName="/xl/revisions/revisionLog40.xml" ContentType="application/vnd.openxmlformats-officedocument.spreadsheetml.revisionLog+xml"/>
  <Override PartName="/xl/revisions/revisionLog48.xml" ContentType="application/vnd.openxmlformats-officedocument.spreadsheetml.revisionLog+xml"/>
  <Override PartName="/xl/revisions/revisionLog4.xml" ContentType="application/vnd.openxmlformats-officedocument.spreadsheetml.revisionLog+xml"/>
  <Override PartName="/xl/revisions/revisionLog12.xml" ContentType="application/vnd.openxmlformats-officedocument.spreadsheetml.revisionLog+xml"/>
  <Override PartName="/xl/revisions/revisionLog18.xml" ContentType="application/vnd.openxmlformats-officedocument.spreadsheetml.revisionLog+xml"/>
  <Override PartName="/xl/revisions/revisionLog23.xml" ContentType="application/vnd.openxmlformats-officedocument.spreadsheetml.revisionLog+xml"/>
  <Override PartName="/xl/revisions/revisionLog31.xml" ContentType="application/vnd.openxmlformats-officedocument.spreadsheetml.revisionLog+xml"/>
  <Override PartName="/xl/revisions/revisionLog52.xml" ContentType="application/vnd.openxmlformats-officedocument.spreadsheetml.revisionLog+xml"/>
  <Override PartName="/xl/revisions/revisionLog7.xml" ContentType="application/vnd.openxmlformats-officedocument.spreadsheetml.revisionLog+xml"/>
  <Override PartName="/xl/revisions/revisionLog26.xml" ContentType="application/vnd.openxmlformats-officedocument.spreadsheetml.revisionLog+xml"/>
  <Override PartName="/xl/revisions/revisionLog34.xml" ContentType="application/vnd.openxmlformats-officedocument.spreadsheetml.revisionLog+xml"/>
  <Override PartName="/xl/revisions/revisionLog39.xml" ContentType="application/vnd.openxmlformats-officedocument.spreadsheetml.revisionLog+xml"/>
  <Override PartName="/xl/revisions/revisionLog47.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Override PartName="/xl/revisions/revisionLog21.xml" ContentType="application/vnd.openxmlformats-officedocument.spreadsheetml.revisionLog+xml"/>
  <Override PartName="/xl/revisions/revisionLog42.xml" ContentType="application/vnd.openxmlformats-officedocument.spreadsheetml.revisionLog+xml"/>
  <Override PartName="/xl/revisions/revisionLog16.xml" ContentType="application/vnd.openxmlformats-officedocument.spreadsheetml.revisionLog+xml"/>
  <Override PartName="/xl/revisions/revisionLog24.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45.xml" ContentType="application/vnd.openxmlformats-officedocument.spreadsheetml.revisionLog+xml"/>
  <Override PartName="/xl/revisions/revisionLog5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m.govrn.bg\root\OPDU\Отдел 1 ПД\ПТП 2021-2027\7. Draft 2.3\Методология на индикаторите\09.09.2022\ToBeSent\"/>
    </mc:Choice>
  </mc:AlternateContent>
  <bookViews>
    <workbookView xWindow="0" yWindow="0" windowWidth="23040" windowHeight="9195" tabRatio="782" activeTab="3"/>
  </bookViews>
  <sheets>
    <sheet name="Финансови бюджетни " sheetId="1" r:id="rId1"/>
    <sheet name="Финансов план на ПТП" sheetId="2" r:id="rId2"/>
    <sheet name="ОПНО_визия евро" sheetId="3" state="hidden" r:id="rId3"/>
    <sheet name="ПОКАЗАТЕЛИ ПТП " sheetId="4" r:id="rId4"/>
    <sheet name="Подробно разпределение " sheetId="5" r:id="rId5"/>
    <sheet name="работен" sheetId="6" state="hidden" r:id="rId6"/>
    <sheet name="П3_Наука_Инфраструктура" sheetId="7" state="hidden" r:id="rId7"/>
    <sheet name="П3_Наука Изследвания" sheetId="8" state="hidden" r:id="rId8"/>
    <sheet name="П3_Наука_Хоризонт" sheetId="9" state="hidden" r:id="rId9"/>
  </sheets>
  <definedNames>
    <definedName name="_xlnm._FilterDatabase" localSheetId="3" hidden="1">'ПОКАЗАТЕЛИ ПТП '!$A$1:$M$70</definedName>
    <definedName name="_ftn1" localSheetId="3">'ПОКАЗАТЕЛИ ПТП '!#REF!</definedName>
    <definedName name="_ftnref1" localSheetId="1">'Финансов план на ПТП'!$A$24</definedName>
    <definedName name="_xlnm.Print_Area" localSheetId="2">'ОПНО_визия евро'!$A$1:$O$30</definedName>
    <definedName name="_xlnm.Print_Area" localSheetId="7">'П3_Наука Изследвания'!$A$1:$M$14</definedName>
    <definedName name="_xlnm.Print_Area" localSheetId="6">П3_Наука_Инфраструктура!$A$1:$L$16</definedName>
    <definedName name="_xlnm.Print_Area" localSheetId="8">П3_Наука_Хоризонт!$A$1:$M$18</definedName>
    <definedName name="_xlnm.Print_Area" localSheetId="3">'ПОКАЗАТЕЛИ ПТП '!$A$1:$F$68</definedName>
    <definedName name="_xlnm.Print_Area" localSheetId="1">'Финансов план на ПТП'!$A$2:$M$18</definedName>
    <definedName name="_xlnm.Print_Area" localSheetId="0">'Финансови бюджетни '!$A$4:$L$16</definedName>
    <definedName name="result.jsf?x_2_805" localSheetId="5">работен!#REF!</definedName>
    <definedName name="Z_008ABF53_164D_4C5B_BA98_868C9AB74E7A_.wvu.FilterData" localSheetId="3" hidden="1">'ПОКАЗАТЕЛИ ПТП '!$A$1:$M$68</definedName>
    <definedName name="Z_042EB648_82BC_4224_BE18_E23E37019127_.wvu.FilterData" localSheetId="3" hidden="1">'ПОКАЗАТЕЛИ ПТП '!$A$1:$M$68</definedName>
    <definedName name="Z_076F3EBE_351B_40E7_B497_75BD777031D1_.wvu.FilterData" localSheetId="3" hidden="1">'ПОКАЗАТЕЛИ ПТП '!$A$1:$M$70</definedName>
    <definedName name="Z_0B483FC7_B634_4102_9054_FF702DF2D16D_.wvu.FilterData" localSheetId="3" hidden="1">'ПОКАЗАТЕЛИ ПТП '!$A$1:$M$68</definedName>
    <definedName name="Z_0C97AF8D_7C80_4D3A_884E_0BB39D941EA8_.wvu.FilterData" localSheetId="3" hidden="1">'ПОКАЗАТЕЛИ ПТП '!$A$1:$M$68</definedName>
    <definedName name="Z_0CC29DAA_CB45_4ECC_AEC6_24DC9DBF66F4_.wvu.FilterData" localSheetId="3" hidden="1">'ПОКАЗАТЕЛИ ПТП '!$A$1:$M$68</definedName>
    <definedName name="Z_0D9D0AF2_9ABA_40E6_B191_B3B1008D0E0A_.wvu.FilterData" localSheetId="3" hidden="1">'ПОКАЗАТЕЛИ ПТП '!$A$1:$M$68</definedName>
    <definedName name="Z_0F284C65_6180_4150_9970_738EE7A62FB9_.wvu.FilterData" localSheetId="3" hidden="1">'ПОКАЗАТЕЛИ ПТП '!$A$1:$F$68</definedName>
    <definedName name="Z_12034DF3_5272_494A_9232_51EF03EB9FD6_.wvu.FilterData" localSheetId="3" hidden="1">'ПОКАЗАТЕЛИ ПТП '!$A$1:$M$68</definedName>
    <definedName name="Z_13EBDE9D_EC74_4522_9EED_363E735B4A78_.wvu.Cols" localSheetId="8" hidden="1">П3_Наука_Хоризонт!$N:$O</definedName>
    <definedName name="Z_13EBDE9D_EC74_4522_9EED_363E735B4A78_.wvu.FilterData" localSheetId="3" hidden="1">'ПОКАЗАТЕЛИ ПТП '!$A$1:$M$70</definedName>
    <definedName name="Z_13EBDE9D_EC74_4522_9EED_363E735B4A78_.wvu.PrintArea" localSheetId="2" hidden="1">'ОПНО_визия евро'!$A$1:$O$30</definedName>
    <definedName name="Z_13EBDE9D_EC74_4522_9EED_363E735B4A78_.wvu.PrintArea" localSheetId="7" hidden="1">'П3_Наука Изследвания'!$A$1:$M$14</definedName>
    <definedName name="Z_13EBDE9D_EC74_4522_9EED_363E735B4A78_.wvu.PrintArea" localSheetId="6" hidden="1">П3_Наука_Инфраструктура!$A$1:$L$16</definedName>
    <definedName name="Z_13EBDE9D_EC74_4522_9EED_363E735B4A78_.wvu.PrintArea" localSheetId="8" hidden="1">П3_Наука_Хоризонт!$A$1:$M$18</definedName>
    <definedName name="Z_13EBDE9D_EC74_4522_9EED_363E735B4A78_.wvu.PrintArea" localSheetId="3" hidden="1">'ПОКАЗАТЕЛИ ПТП '!$A$1:$S$68</definedName>
    <definedName name="Z_13EBDE9D_EC74_4522_9EED_363E735B4A78_.wvu.PrintArea" localSheetId="1" hidden="1">'Финансов план на ПТП'!$A$2:$M$18</definedName>
    <definedName name="Z_13EBDE9D_EC74_4522_9EED_363E735B4A78_.wvu.PrintArea" localSheetId="0" hidden="1">'Финансови бюджетни '!$A$4:$L$16</definedName>
    <definedName name="Z_145F2F6D_8F9C_4454_A0C6_DC4412ADDAB8_.wvu.FilterData" localSheetId="3" hidden="1">'ПОКАЗАТЕЛИ ПТП '!$A$1:$M$68</definedName>
    <definedName name="Z_15037349_416B_47B2_A085_519110C7C71D_.wvu.FilterData" localSheetId="3" hidden="1">'ПОКАЗАТЕЛИ ПТП '!$A$1:$M$68</definedName>
    <definedName name="Z_15A0B67B_444A_4BE4_B884_AC45439F2049_.wvu.FilterData" localSheetId="3" hidden="1">'ПОКАЗАТЕЛИ ПТП '!$A$1:$M$68</definedName>
    <definedName name="Z_185D5A4C_202F_4232_A5A2_CC2DAAA668F2_.wvu.FilterData" localSheetId="3" hidden="1">'ПОКАЗАТЕЛИ ПТП '!$A$1:$M$68</definedName>
    <definedName name="Z_19B2FE13_4ADE_46F6_A7FC_A6C8743715E4_.wvu.FilterData" localSheetId="3" hidden="1">'ПОКАЗАТЕЛИ ПТП '!$A$1:$M$70</definedName>
    <definedName name="Z_1BD32DC5_9A08_4A56_B88A_ADFACE5C3CDF_.wvu.FilterData" localSheetId="3" hidden="1">'ПОКАЗАТЕЛИ ПТП '!$A$1:$M$68</definedName>
    <definedName name="Z_21066EB9_DD75_47B4_8A3E_94154F74F4CD_.wvu.FilterData" localSheetId="3" hidden="1">'ПОКАЗАТЕЛИ ПТП '!$A$1:$M$68</definedName>
    <definedName name="Z_259EE139_4126_4E29_9864_DD4E8352A150_.wvu.FilterData" localSheetId="3" hidden="1">'ПОКАЗАТЕЛИ ПТП '!$A$1:$M$68</definedName>
    <definedName name="Z_261BF8DF_488A_4B87_9FD5_F26014C63E8B_.wvu.FilterData" localSheetId="3" hidden="1">'ПОКАЗАТЕЛИ ПТП '!$A$1:$M$68</definedName>
    <definedName name="Z_2A6315F5_C9A2_43A7_B337_00FD30A3EB26_.wvu.Cols" localSheetId="8" hidden="1">П3_Наука_Хоризонт!$N:$O</definedName>
    <definedName name="Z_2A6315F5_C9A2_43A7_B337_00FD30A3EB26_.wvu.FilterData" localSheetId="3" hidden="1">'ПОКАЗАТЕЛИ ПТП '!$A$1:$F$68</definedName>
    <definedName name="Z_2A6315F5_C9A2_43A7_B337_00FD30A3EB26_.wvu.PrintArea" localSheetId="2" hidden="1">'ОПНО_визия евро'!$A$1:$O$30</definedName>
    <definedName name="Z_2A6315F5_C9A2_43A7_B337_00FD30A3EB26_.wvu.PrintArea" localSheetId="7" hidden="1">'П3_Наука Изследвания'!$A$1:$M$14</definedName>
    <definedName name="Z_2A6315F5_C9A2_43A7_B337_00FD30A3EB26_.wvu.PrintArea" localSheetId="6" hidden="1">П3_Наука_Инфраструктура!$A$1:$L$16</definedName>
    <definedName name="Z_2A6315F5_C9A2_43A7_B337_00FD30A3EB26_.wvu.PrintArea" localSheetId="8" hidden="1">П3_Наука_Хоризонт!$A$1:$M$18</definedName>
    <definedName name="Z_2A6315F5_C9A2_43A7_B337_00FD30A3EB26_.wvu.PrintArea" localSheetId="3" hidden="1">'ПОКАЗАТЕЛИ ПТП '!$A$1:$F$68</definedName>
    <definedName name="Z_2A6315F5_C9A2_43A7_B337_00FD30A3EB26_.wvu.PrintArea" localSheetId="1" hidden="1">'Финансов план на ПТП'!$A$2:$M$18</definedName>
    <definedName name="Z_2A6315F5_C9A2_43A7_B337_00FD30A3EB26_.wvu.PrintArea" localSheetId="0" hidden="1">'Финансови бюджетни '!$A$4:$L$16</definedName>
    <definedName name="Z_2D89472C_6FA3_4F06_B286_03FBC9227214_.wvu.FilterData" localSheetId="3" hidden="1">'ПОКАЗАТЕЛИ ПТП '!$A$1:$M$68</definedName>
    <definedName name="Z_2E4D13C6_37F9_4995_96E1_27C1A960A6D4_.wvu.FilterData" localSheetId="3" hidden="1">'ПОКАЗАТЕЛИ ПТП '!$A$1:$M$68</definedName>
    <definedName name="Z_2FDFD1F9_CAA9_4788_BC6B_22023547642F_.wvu.FilterData" localSheetId="3" hidden="1">'ПОКАЗАТЕЛИ ПТП '!$A$1:$M$68</definedName>
    <definedName name="Z_32A281B9_28FB_4D0E_8C01_BFBADAC8C3C9_.wvu.Cols" localSheetId="8" hidden="1">П3_Наука_Хоризонт!$N:$O</definedName>
    <definedName name="Z_32A281B9_28FB_4D0E_8C01_BFBADAC8C3C9_.wvu.FilterData" localSheetId="3" hidden="1">'ПОКАЗАТЕЛИ ПТП '!$A$1:$M$70</definedName>
    <definedName name="Z_32A281B9_28FB_4D0E_8C01_BFBADAC8C3C9_.wvu.PrintArea" localSheetId="2" hidden="1">'ОПНО_визия евро'!$A$1:$O$30</definedName>
    <definedName name="Z_32A281B9_28FB_4D0E_8C01_BFBADAC8C3C9_.wvu.PrintArea" localSheetId="7" hidden="1">'П3_Наука Изследвания'!$A$1:$M$14</definedName>
    <definedName name="Z_32A281B9_28FB_4D0E_8C01_BFBADAC8C3C9_.wvu.PrintArea" localSheetId="6" hidden="1">П3_Наука_Инфраструктура!$A$1:$L$16</definedName>
    <definedName name="Z_32A281B9_28FB_4D0E_8C01_BFBADAC8C3C9_.wvu.PrintArea" localSheetId="8" hidden="1">П3_Наука_Хоризонт!$A$1:$M$18</definedName>
    <definedName name="Z_32A281B9_28FB_4D0E_8C01_BFBADAC8C3C9_.wvu.PrintArea" localSheetId="3" hidden="1">'ПОКАЗАТЕЛИ ПТП '!$A$1:$F$68</definedName>
    <definedName name="Z_32A281B9_28FB_4D0E_8C01_BFBADAC8C3C9_.wvu.PrintArea" localSheetId="1" hidden="1">'Финансов план на ПТП'!$A$2:$M$18</definedName>
    <definedName name="Z_32A281B9_28FB_4D0E_8C01_BFBADAC8C3C9_.wvu.PrintArea" localSheetId="0" hidden="1">'Финансови бюджетни '!$A$4:$L$16</definedName>
    <definedName name="Z_33934842_EF95_4E88_877F_758AD2A4D4D0_.wvu.FilterData" localSheetId="3" hidden="1">'ПОКАЗАТЕЛИ ПТП '!$A$1:$M$68</definedName>
    <definedName name="Z_3542DC62_8B17_4771_8CD4_EC4D5976F83F_.wvu.FilterData" localSheetId="3" hidden="1">'ПОКАЗАТЕЛИ ПТП '!$A$1:$M$68</definedName>
    <definedName name="Z_35D4AF83_4544_40E7_9B86_06957E47EADA_.wvu.FilterData" localSheetId="3" hidden="1">'ПОКАЗАТЕЛИ ПТП '!$A$1:$M$70</definedName>
    <definedName name="Z_38511207_ABF2_41F4_A20A_B7A537CE4931_.wvu.FilterData" localSheetId="3" hidden="1">'ПОКАЗАТЕЛИ ПТП '!$A$1:$M$68</definedName>
    <definedName name="Z_3A6DB9D9_5330_452D_8F5E_7E32B3EA3555_.wvu.FilterData" localSheetId="3" hidden="1">'ПОКАЗАТЕЛИ ПТП '!$A$1:$M$68</definedName>
    <definedName name="Z_44C2A125_6E47_4224_AD84_727CF0E61F69_.wvu.FilterData" localSheetId="3" hidden="1">'ПОКАЗАТЕЛИ ПТП '!$A$1:$M$68</definedName>
    <definedName name="Z_44ED0E52_D049_4834_BFF1_52C0F93E789F_.wvu.FilterData" localSheetId="3" hidden="1">'ПОКАЗАТЕЛИ ПТП '!$A$1:$M$68</definedName>
    <definedName name="Z_450731DB_4BF9_4C9E_BDB4_C26D40562C68_.wvu.FilterData" localSheetId="3" hidden="1">'ПОКАЗАТЕЛИ ПТП '!$A$1:$M$68</definedName>
    <definedName name="Z_46A1F39A_22E7_4B48_903F_3893C818F1C6_.wvu.FilterData" localSheetId="3" hidden="1">'ПОКАЗАТЕЛИ ПТП '!$A$1:$M$68</definedName>
    <definedName name="Z_478865FB_599C_4C08_B032_427D6B351E57_.wvu.FilterData" localSheetId="3" hidden="1">'ПОКАЗАТЕЛИ ПТП '!$A$1:$F$68</definedName>
    <definedName name="Z_482EE438_5A4D_47B6_8226_D81C53B1B63E_.wvu.FilterData" localSheetId="3" hidden="1">'ПОКАЗАТЕЛИ ПТП '!$A$1:$M$70</definedName>
    <definedName name="Z_4B76E996_E18A_4D36_9A80_B1281B72C0DD_.wvu.FilterData" localSheetId="3" hidden="1">'ПОКАЗАТЕЛИ ПТП '!$A$1:$M$70</definedName>
    <definedName name="Z_4BB0384E_0437_4789_8DE5_FCBF7515AB0F_.wvu.FilterData" localSheetId="3" hidden="1">'ПОКАЗАТЕЛИ ПТП '!$A$1:$M$68</definedName>
    <definedName name="Z_4C25F96D_2B28_4301_92A1_E2682EC0223B_.wvu.FilterData" localSheetId="3" hidden="1">'ПОКАЗАТЕЛИ ПТП '!$A$1:$F$68</definedName>
    <definedName name="Z_4E01AB9E_03A5_44D2_9D9C_890FF04B5AD8_.wvu.FilterData" localSheetId="3" hidden="1">'ПОКАЗАТЕЛИ ПТП '!$A$1:$M$68</definedName>
    <definedName name="Z_508EDACC_2A92_47E6_91D4_24FD126F7EE3_.wvu.FilterData" localSheetId="3" hidden="1">'ПОКАЗАТЕЛИ ПТП '!$A$1:$M$68</definedName>
    <definedName name="Z_539634CF_44A3_4428_8D5D_280293A38ACF_.wvu.FilterData" localSheetId="3" hidden="1">'ПОКАЗАТЕЛИ ПТП '!$A$1:$M$68</definedName>
    <definedName name="Z_53A95ABA_92F3_4325_87CC_0C68A48FAF1F_.wvu.FilterData" localSheetId="3" hidden="1">'ПОКАЗАТЕЛИ ПТП '!$A$1:$M$68</definedName>
    <definedName name="Z_56BC42A3_D967_4F27_BD5A_CB0B8CB7F657_.wvu.Cols" localSheetId="8" hidden="1">П3_Наука_Хоризонт!$N:$O</definedName>
    <definedName name="Z_56BC42A3_D967_4F27_BD5A_CB0B8CB7F657_.wvu.FilterData" localSheetId="3" hidden="1">'ПОКАЗАТЕЛИ ПТП '!$A$1:$M$68</definedName>
    <definedName name="Z_56BC42A3_D967_4F27_BD5A_CB0B8CB7F657_.wvu.PrintArea" localSheetId="2" hidden="1">'ОПНО_визия евро'!$A$1:$O$30</definedName>
    <definedName name="Z_56BC42A3_D967_4F27_BD5A_CB0B8CB7F657_.wvu.PrintArea" localSheetId="7" hidden="1">'П3_Наука Изследвания'!$A$1:$M$14</definedName>
    <definedName name="Z_56BC42A3_D967_4F27_BD5A_CB0B8CB7F657_.wvu.PrintArea" localSheetId="6" hidden="1">П3_Наука_Инфраструктура!$A$1:$L$16</definedName>
    <definedName name="Z_56BC42A3_D967_4F27_BD5A_CB0B8CB7F657_.wvu.PrintArea" localSheetId="8" hidden="1">П3_Наука_Хоризонт!$A$1:$M$18</definedName>
    <definedName name="Z_56BC42A3_D967_4F27_BD5A_CB0B8CB7F657_.wvu.PrintArea" localSheetId="3" hidden="1">'ПОКАЗАТЕЛИ ПТП '!$A$1:$F$68</definedName>
    <definedName name="Z_56BC42A3_D967_4F27_BD5A_CB0B8CB7F657_.wvu.PrintArea" localSheetId="1" hidden="1">'Финансов план на ПТП'!$A$2:$M$18</definedName>
    <definedName name="Z_56BC42A3_D967_4F27_BD5A_CB0B8CB7F657_.wvu.PrintArea" localSheetId="0" hidden="1">'Финансови бюджетни '!$A$4:$L$16</definedName>
    <definedName name="Z_594063B7_0116_4985_9B71_4712FA8932F2_.wvu.FilterData" localSheetId="3" hidden="1">'ПОКАЗАТЕЛИ ПТП '!$A$1:$M$68</definedName>
    <definedName name="Z_59556E99_6985_48CB_9B1C_3F9D4BC561CE_.wvu.FilterData" localSheetId="3" hidden="1">'ПОКАЗАТЕЛИ ПТП '!$A$1:$F$68</definedName>
    <definedName name="Z_59C92782_F552_4F83_88F2_58AD0899CA3F_.wvu.FilterData" localSheetId="3" hidden="1">'ПОКАЗАТЕЛИ ПТП '!$A$1:$F$68</definedName>
    <definedName name="Z_5F3C4B6F_44D6_43BD_BE64_BC56B66D339E_.wvu.FilterData" localSheetId="3" hidden="1">'ПОКАЗАТЕЛИ ПТП '!$A$1:$M$68</definedName>
    <definedName name="Z_60392FDC_0979_4005_8F6B_4B6A89DCED03_.wvu.FilterData" localSheetId="3" hidden="1">'ПОКАЗАТЕЛИ ПТП '!$A$1:$M$68</definedName>
    <definedName name="Z_60786D3F_F644_47DC_B85B_1DC39C92BC6A_.wvu.FilterData" localSheetId="3" hidden="1">'ПОКАЗАТЕЛИ ПТП '!$A$1:$M$68</definedName>
    <definedName name="Z_60ABE2B3_B68E_4D05_9061_183F6B2424F3_.wvu.FilterData" localSheetId="3" hidden="1">'ПОКАЗАТЕЛИ ПТП '!$A$1:$M$68</definedName>
    <definedName name="Z_616E1976_58DE_4466_8922_C10B7D674852_.wvu.FilterData" localSheetId="3" hidden="1">'ПОКАЗАТЕЛИ ПТП '!$A$1:$M$68</definedName>
    <definedName name="Z_688CB038_F282_4990_A834_4AD321619C8C_.wvu.FilterData" localSheetId="3" hidden="1">'ПОКАЗАТЕЛИ ПТП '!$A$1:$M$68</definedName>
    <definedName name="Z_6B77031E_918C_40F9_A42D_E4EA46622624_.wvu.Cols" localSheetId="8" hidden="1">П3_Наука_Хоризонт!$N:$O</definedName>
    <definedName name="Z_6B77031E_918C_40F9_A42D_E4EA46622624_.wvu.FilterData" localSheetId="3" hidden="1">'ПОКАЗАТЕЛИ ПТП '!$A$1:$M$70</definedName>
    <definedName name="Z_6B77031E_918C_40F9_A42D_E4EA46622624_.wvu.PrintArea" localSheetId="2" hidden="1">'ОПНО_визия евро'!$A$1:$O$30</definedName>
    <definedName name="Z_6B77031E_918C_40F9_A42D_E4EA46622624_.wvu.PrintArea" localSheetId="7" hidden="1">'П3_Наука Изследвания'!$A$1:$M$14</definedName>
    <definedName name="Z_6B77031E_918C_40F9_A42D_E4EA46622624_.wvu.PrintArea" localSheetId="6" hidden="1">П3_Наука_Инфраструктура!$A$1:$L$16</definedName>
    <definedName name="Z_6B77031E_918C_40F9_A42D_E4EA46622624_.wvu.PrintArea" localSheetId="8" hidden="1">П3_Наука_Хоризонт!$A$1:$M$18</definedName>
    <definedName name="Z_6B77031E_918C_40F9_A42D_E4EA46622624_.wvu.PrintArea" localSheetId="3" hidden="1">'ПОКАЗАТЕЛИ ПТП '!$A$1:$F$68</definedName>
    <definedName name="Z_6B77031E_918C_40F9_A42D_E4EA46622624_.wvu.PrintArea" localSheetId="1" hidden="1">'Финансов план на ПТП'!$A$2:$M$18</definedName>
    <definedName name="Z_6B77031E_918C_40F9_A42D_E4EA46622624_.wvu.PrintArea" localSheetId="0" hidden="1">'Финансови бюджетни '!$A$4:$L$16</definedName>
    <definedName name="Z_6DE7F3B1_A2A5_4DF3_AB28_CEC05645DF79_.wvu.FilterData" localSheetId="3" hidden="1">'ПОКАЗАТЕЛИ ПТП '!$A$1:$M$68</definedName>
    <definedName name="Z_706ED943_D14E_4B19_B1BF_18F11D303E32_.wvu.FilterData" localSheetId="3" hidden="1">'ПОКАЗАТЕЛИ ПТП '!$A$1:$M$68</definedName>
    <definedName name="Z_77799D3C_38E2_410A_80FA_AECD8E6AB89B_.wvu.Cols" localSheetId="8" hidden="1">П3_Наука_Хоризонт!$N:$O</definedName>
    <definedName name="Z_77799D3C_38E2_410A_80FA_AECD8E6AB89B_.wvu.FilterData" localSheetId="3" hidden="1">'ПОКАЗАТЕЛИ ПТП '!$A$1:$M$70</definedName>
    <definedName name="Z_77799D3C_38E2_410A_80FA_AECD8E6AB89B_.wvu.PrintArea" localSheetId="2" hidden="1">'ОПНО_визия евро'!$A$1:$O$30</definedName>
    <definedName name="Z_77799D3C_38E2_410A_80FA_AECD8E6AB89B_.wvu.PrintArea" localSheetId="7" hidden="1">'П3_Наука Изследвания'!$A$1:$M$14</definedName>
    <definedName name="Z_77799D3C_38E2_410A_80FA_AECD8E6AB89B_.wvu.PrintArea" localSheetId="6" hidden="1">П3_Наука_Инфраструктура!$A$1:$L$16</definedName>
    <definedName name="Z_77799D3C_38E2_410A_80FA_AECD8E6AB89B_.wvu.PrintArea" localSheetId="8" hidden="1">П3_Наука_Хоризонт!$A$1:$M$18</definedName>
    <definedName name="Z_77799D3C_38E2_410A_80FA_AECD8E6AB89B_.wvu.PrintArea" localSheetId="3" hidden="1">'ПОКАЗАТЕЛИ ПТП '!$A$1:$F$68</definedName>
    <definedName name="Z_77799D3C_38E2_410A_80FA_AECD8E6AB89B_.wvu.PrintArea" localSheetId="1" hidden="1">'Финансов план на ПТП'!$A$2:$M$18</definedName>
    <definedName name="Z_77799D3C_38E2_410A_80FA_AECD8E6AB89B_.wvu.PrintArea" localSheetId="0" hidden="1">'Финансови бюджетни '!$A$4:$L$16</definedName>
    <definedName name="Z_789DF1D1_5B2F_4DBB_A27D_7F65A344A4B0_.wvu.FilterData" localSheetId="3" hidden="1">'ПОКАЗАТЕЛИ ПТП '!$A$1:$M$68</definedName>
    <definedName name="Z_78C4BE07_3D6D_48FF_829A_93E03342FDC1_.wvu.FilterData" localSheetId="3" hidden="1">'ПОКАЗАТЕЛИ ПТП '!$A$1:$M$68</definedName>
    <definedName name="Z_7AFACEE3_4130_438F_9B62_F00738166982_.wvu.FilterData" localSheetId="3" hidden="1">'ПОКАЗАТЕЛИ ПТП '!$A$1:$M$68</definedName>
    <definedName name="Z_7BC33F16_0A52_48FA_9587_E7C66DF4A2C2_.wvu.FilterData" localSheetId="3" hidden="1">'ПОКАЗАТЕЛИ ПТП '!$A$1:$M$68</definedName>
    <definedName name="Z_7C398563_66C1_4EF6_BC12_42FA6233B0B8_.wvu.FilterData" localSheetId="3" hidden="1">'ПОКАЗАТЕЛИ ПТП '!$A$1:$M$68</definedName>
    <definedName name="Z_7E4C5ABB_6A83_448F_97BF_009D8C7CCFE4_.wvu.FilterData" localSheetId="3" hidden="1">'ПОКАЗАТЕЛИ ПТП '!$A$1:$M$68</definedName>
    <definedName name="Z_7F2EA1C4_55AA_4612_84FA_501681582C12_.wvu.FilterData" localSheetId="3" hidden="1">'ПОКАЗАТЕЛИ ПТП '!$A$1:$M$68</definedName>
    <definedName name="Z_84A71B46_60CD_407A_89F3_857B06992E7A_.wvu.FilterData" localSheetId="3" hidden="1">'ПОКАЗАТЕЛИ ПТП '!$A$1:$M$68</definedName>
    <definedName name="Z_865CDE92_7D88_495D_90A0_9A0951E8EE5B_.wvu.FilterData" localSheetId="3" hidden="1">'ПОКАЗАТЕЛИ ПТП '!$A$1:$M$68</definedName>
    <definedName name="Z_872D2DA5_7BEF_480F_BD4A_211DAFB5A8E3_.wvu.FilterData" localSheetId="3" hidden="1">'ПОКАЗАТЕЛИ ПТП '!$A$1:$M$68</definedName>
    <definedName name="Z_878BA027_57A8_44BE_B4C6_7E97B44F94A2_.wvu.FilterData" localSheetId="3" hidden="1">'ПОКАЗАТЕЛИ ПТП '!$A$1:$M$68</definedName>
    <definedName name="Z_88974E4A_2D2B_42DC_8EA2_54A59A77B0D5_.wvu.FilterData" localSheetId="3" hidden="1">'ПОКАЗАТЕЛИ ПТП '!$A$1:$M$68</definedName>
    <definedName name="Z_8AB8B59D_AA09_4081_BE27_99D08A07BA31_.wvu.FilterData" localSheetId="3" hidden="1">'ПОКАЗАТЕЛИ ПТП '!$A$1:$M$68</definedName>
    <definedName name="Z_8B6D65BC_AB77_4F9F_BB5E_C848F5C1D363_.wvu.FilterData" localSheetId="3" hidden="1">'ПОКАЗАТЕЛИ ПТП '!$A$1:$M$68</definedName>
    <definedName name="Z_8F340EDE_FB25_4830_AA64_0CB34D06C1E0_.wvu.FilterData" localSheetId="3" hidden="1">'ПОКАЗАТЕЛИ ПТП '!$A$1:$M$68</definedName>
    <definedName name="Z_9180A044_BC68_4F4E_8E32_4F4879630C5D_.wvu.FilterData" localSheetId="3" hidden="1">'ПОКАЗАТЕЛИ ПТП '!$A$1:$M$68</definedName>
    <definedName name="Z_91AF3DAF_3A21_4047_95E4_323BC50341B9_.wvu.FilterData" localSheetId="3" hidden="1">'ПОКАЗАТЕЛИ ПТП '!$A$1:$M$68</definedName>
    <definedName name="Z_967C2AF1_5EDF_4EFB_9B6E_F068F0A377ED_.wvu.FilterData" localSheetId="3" hidden="1">'ПОКАЗАТЕЛИ ПТП '!$A$1:$M$68</definedName>
    <definedName name="Z_97473967_553B_4F9C_B199_B080F6D50764_.wvu.FilterData" localSheetId="3" hidden="1">'ПОКАЗАТЕЛИ ПТП '!$A$2:$F$57</definedName>
    <definedName name="Z_98583CFF_58DC_4FB4_88DF_28748AEF91F6_.wvu.FilterData" localSheetId="3" hidden="1">'ПОКАЗАТЕЛИ ПТП '!$A$1:$M$68</definedName>
    <definedName name="Z_98FCE1DD_8BAE_472D_9734_AEB84FC63C88_.wvu.FilterData" localSheetId="3" hidden="1">'ПОКАЗАТЕЛИ ПТП '!$A$1:$M$68</definedName>
    <definedName name="Z_9CB77FEE_E4A3_4A18_85E7_45FCDC188FE9_.wvu.FilterData" localSheetId="3" hidden="1">'ПОКАЗАТЕЛИ ПТП '!$A$1:$M$68</definedName>
    <definedName name="Z_9CD5F6CE_0E1C_42DA_A598_93523B740CBC_.wvu.Cols" localSheetId="8" hidden="1">П3_Наука_Хоризонт!$N:$O</definedName>
    <definedName name="Z_9CD5F6CE_0E1C_42DA_A598_93523B740CBC_.wvu.FilterData" localSheetId="3" hidden="1">'ПОКАЗАТЕЛИ ПТП '!$A$2:$F$57</definedName>
    <definedName name="Z_9CD5F6CE_0E1C_42DA_A598_93523B740CBC_.wvu.PrintArea" localSheetId="2" hidden="1">'ОПНО_визия евро'!$A$1:$O$30</definedName>
    <definedName name="Z_9CD5F6CE_0E1C_42DA_A598_93523B740CBC_.wvu.PrintArea" localSheetId="7" hidden="1">'П3_Наука Изследвания'!$A$1:$M$14</definedName>
    <definedName name="Z_9CD5F6CE_0E1C_42DA_A598_93523B740CBC_.wvu.PrintArea" localSheetId="6" hidden="1">П3_Наука_Инфраструктура!$A$1:$L$16</definedName>
    <definedName name="Z_9CD5F6CE_0E1C_42DA_A598_93523B740CBC_.wvu.PrintArea" localSheetId="8" hidden="1">П3_Наука_Хоризонт!$A$1:$M$18</definedName>
    <definedName name="Z_9CD5F6CE_0E1C_42DA_A598_93523B740CBC_.wvu.PrintArea" localSheetId="1" hidden="1">'Финансов план на ПТП'!$A$2:$M$18</definedName>
    <definedName name="Z_9CD5F6CE_0E1C_42DA_A598_93523B740CBC_.wvu.PrintArea" localSheetId="0" hidden="1">'Финансови бюджетни '!$A$4:$L$16</definedName>
    <definedName name="Z_9CF8157C_F9C6_42F2_BC91_4E0E92F3E150_.wvu.FilterData" localSheetId="3" hidden="1">'ПОКАЗАТЕЛИ ПТП '!$A$1:$M$68</definedName>
    <definedName name="Z_A258819D_1B77_4856_A4E1_9B3140AD5721_.wvu.FilterData" localSheetId="3" hidden="1">'ПОКАЗАТЕЛИ ПТП '!$A$1:$M$70</definedName>
    <definedName name="Z_A44EDE4C_7411_45F3_9DDB_5D396C6F8E30_.wvu.FilterData" localSheetId="3" hidden="1">'ПОКАЗАТЕЛИ ПТП '!$A$1:$M$68</definedName>
    <definedName name="Z_A47A44D7_E2B5_46C7_A48C_49088F2604E0_.wvu.FilterData" localSheetId="3" hidden="1">'ПОКАЗАТЕЛИ ПТП '!$A$1:$M$68</definedName>
    <definedName name="Z_A5E45A22_7E45_4C8C_90B4_681EA05978BA_.wvu.FilterData" localSheetId="3" hidden="1">'ПОКАЗАТЕЛИ ПТП '!$A$1:$M$68</definedName>
    <definedName name="Z_A92C6647_AB29_4B6A_AC26_5A7AE5C58888_.wvu.FilterData" localSheetId="3" hidden="1">'ПОКАЗАТЕЛИ ПТП '!$A$1:$M$68</definedName>
    <definedName name="Z_A9E76DC5_461B_4C57_B245_F038800639FE_.wvu.FilterData" localSheetId="3" hidden="1">'ПОКАЗАТЕЛИ ПТП '!$A$1:$M$68</definedName>
    <definedName name="Z_AB278974_DE54_492A_9691_AEB99B62A374_.wvu.FilterData" localSheetId="3" hidden="1">'ПОКАЗАТЕЛИ ПТП '!$A$1:$M$68</definedName>
    <definedName name="Z_ACEB7F85_A977_4456_AFE3_A35E17DA1D56_.wvu.FilterData" localSheetId="3" hidden="1">'ПОКАЗАТЕЛИ ПТП '!$A$1:$M$68</definedName>
    <definedName name="Z_AD504361_49F3_4986_BDBF_FB73E2299976_.wvu.Cols" localSheetId="8" hidden="1">П3_Наука_Хоризонт!$N:$O</definedName>
    <definedName name="Z_AD504361_49F3_4986_BDBF_FB73E2299976_.wvu.FilterData" localSheetId="3" hidden="1">'ПОКАЗАТЕЛИ ПТП '!$A$1:$M$70</definedName>
    <definedName name="Z_AD504361_49F3_4986_BDBF_FB73E2299976_.wvu.PrintArea" localSheetId="2" hidden="1">'ОПНО_визия евро'!$A$1:$O$30</definedName>
    <definedName name="Z_AD504361_49F3_4986_BDBF_FB73E2299976_.wvu.PrintArea" localSheetId="7" hidden="1">'П3_Наука Изследвания'!$A$1:$M$14</definedName>
    <definedName name="Z_AD504361_49F3_4986_BDBF_FB73E2299976_.wvu.PrintArea" localSheetId="6" hidden="1">П3_Наука_Инфраструктура!$A$1:$L$16</definedName>
    <definedName name="Z_AD504361_49F3_4986_BDBF_FB73E2299976_.wvu.PrintArea" localSheetId="8" hidden="1">П3_Наука_Хоризонт!$A$1:$M$18</definedName>
    <definedName name="Z_AD504361_49F3_4986_BDBF_FB73E2299976_.wvu.PrintArea" localSheetId="3" hidden="1">'ПОКАЗАТЕЛИ ПТП '!$A$1:$F$68</definedName>
    <definedName name="Z_AD504361_49F3_4986_BDBF_FB73E2299976_.wvu.PrintArea" localSheetId="1" hidden="1">'Финансов план на ПТП'!$A$2:$M$18</definedName>
    <definedName name="Z_AD504361_49F3_4986_BDBF_FB73E2299976_.wvu.PrintArea" localSheetId="0" hidden="1">'Финансови бюджетни '!$A$4:$L$16</definedName>
    <definedName name="Z_ADE2AED5_CCF6_4A00_B664_C2C49B9BEF5C_.wvu.FilterData" localSheetId="3" hidden="1">'ПОКАЗАТЕЛИ ПТП '!$A$1:$M$68</definedName>
    <definedName name="Z_AFB558D7_B68D_403E_9CDE_53616F2B37D7_.wvu.FilterData" localSheetId="3" hidden="1">'ПОКАЗАТЕЛИ ПТП '!$A$1:$M$68</definedName>
    <definedName name="Z_B1A1AEA2_F407_4A00_872D_F8AA3FCCAB28_.wvu.FilterData" localSheetId="3" hidden="1">'ПОКАЗАТЕЛИ ПТП '!$A$1:$M$68</definedName>
    <definedName name="Z_B2580134_98E8_447F_87D8_04F8DB5252C2_.wvu.FilterData" localSheetId="3" hidden="1">'ПОКАЗАТЕЛИ ПТП '!$A$2:$F$57</definedName>
    <definedName name="Z_B3762A0B_85CA_444A_8DD2_564EE243944D_.wvu.FilterData" localSheetId="3" hidden="1">'ПОКАЗАТЕЛИ ПТП '!$A$1:$M$68</definedName>
    <definedName name="Z_B426F9F8_EB1A_4D7B_9478_7E22D414CC12_.wvu.Cols" localSheetId="8" hidden="1">П3_Наука_Хоризонт!$N:$O</definedName>
    <definedName name="Z_B426F9F8_EB1A_4D7B_9478_7E22D414CC12_.wvu.FilterData" localSheetId="3" hidden="1">'ПОКАЗАТЕЛИ ПТП '!$A$1:$M$70</definedName>
    <definedName name="Z_B426F9F8_EB1A_4D7B_9478_7E22D414CC12_.wvu.PrintArea" localSheetId="2" hidden="1">'ОПНО_визия евро'!$A$1:$O$30</definedName>
    <definedName name="Z_B426F9F8_EB1A_4D7B_9478_7E22D414CC12_.wvu.PrintArea" localSheetId="7" hidden="1">'П3_Наука Изследвания'!$A$1:$M$14</definedName>
    <definedName name="Z_B426F9F8_EB1A_4D7B_9478_7E22D414CC12_.wvu.PrintArea" localSheetId="6" hidden="1">П3_Наука_Инфраструктура!$A$1:$L$16</definedName>
    <definedName name="Z_B426F9F8_EB1A_4D7B_9478_7E22D414CC12_.wvu.PrintArea" localSheetId="8" hidden="1">П3_Наука_Хоризонт!$A$1:$M$18</definedName>
    <definedName name="Z_B426F9F8_EB1A_4D7B_9478_7E22D414CC12_.wvu.PrintArea" localSheetId="3" hidden="1">'ПОКАЗАТЕЛИ ПТП '!$A$1:$F$68</definedName>
    <definedName name="Z_B426F9F8_EB1A_4D7B_9478_7E22D414CC12_.wvu.PrintArea" localSheetId="1" hidden="1">'Финансов план на ПТП'!$A$2:$M$18</definedName>
    <definedName name="Z_B426F9F8_EB1A_4D7B_9478_7E22D414CC12_.wvu.PrintArea" localSheetId="0" hidden="1">'Финансови бюджетни '!$A$4:$L$16</definedName>
    <definedName name="Z_B4CD06E5_0F7A_4CD2_A1B8_48ECAD5ED7A0_.wvu.FilterData" localSheetId="3" hidden="1">'ПОКАЗАТЕЛИ ПТП '!$A$1:$M$70</definedName>
    <definedName name="Z_B51586A5_537D_4B84_901E_178643F0D236_.wvu.FilterData" localSheetId="3" hidden="1">'ПОКАЗАТЕЛИ ПТП '!$A$1:$M$68</definedName>
    <definedName name="Z_B5DDA91F_EC18_4D67_A347_1883CDE2FFF4_.wvu.FilterData" localSheetId="3" hidden="1">'ПОКАЗАТЕЛИ ПТП '!$A$1:$M$68</definedName>
    <definedName name="Z_BA49FD0F_AB35_48A1_AD22_91FD674A6FB2_.wvu.FilterData" localSheetId="3" hidden="1">'ПОКАЗАТЕЛИ ПТП '!$A$1:$M$68</definedName>
    <definedName name="Z_C045550C_87F3_453F_B207_735FDF4C6AEC_.wvu.FilterData" localSheetId="3" hidden="1">'ПОКАЗАТЕЛИ ПТП '!$A$1:$M$68</definedName>
    <definedName name="Z_C2AD75A7_2631_4E7D_942F_B2AB060AAA09_.wvu.FilterData" localSheetId="3" hidden="1">'ПОКАЗАТЕЛИ ПТП '!$A$1:$M$68</definedName>
    <definedName name="Z_C6B8F34A_F1E4_4D67_A924_DA21D14BBA7E_.wvu.FilterData" localSheetId="3" hidden="1">'ПОКАЗАТЕЛИ ПТП '!$A$1:$M$68</definedName>
    <definedName name="Z_C6DB5879_32A9_403F_864A_4BAA95BB7747_.wvu.FilterData" localSheetId="3" hidden="1">'ПОКАЗАТЕЛИ ПТП '!$A$1:$M$68</definedName>
    <definedName name="Z_C6F190A0_1065_4334_BB3D_A201C52D19BC_.wvu.FilterData" localSheetId="3" hidden="1">'ПОКАЗАТЕЛИ ПТП '!$A$1:$M$68</definedName>
    <definedName name="Z_CD0DA7C6_AE0D_4D8C_8DEC_9E1E1BD6C5A7_.wvu.FilterData" localSheetId="3" hidden="1">'ПОКАЗАТЕЛИ ПТП '!$A$1:$M$68</definedName>
    <definedName name="Z_CDFE6D91_C19B_4A37_8497_E1930B99F06E_.wvu.FilterData" localSheetId="3" hidden="1">'ПОКАЗАТЕЛИ ПТП '!$A$1:$M$68</definedName>
    <definedName name="Z_CE577872_512D_4445_82A3_E45C406A456B_.wvu.FilterData" localSheetId="3" hidden="1">'ПОКАЗАТЕЛИ ПТП '!$A$1:$M$68</definedName>
    <definedName name="Z_D1764B63_B88F_4276_A634_B6297D05F3AB_.wvu.FilterData" localSheetId="3" hidden="1">'ПОКАЗАТЕЛИ ПТП '!$A$1:$M$70</definedName>
    <definedName name="Z_D1BD168D_40B4_46AB_88B7_64C22520CFA0_.wvu.Cols" localSheetId="8" hidden="1">П3_Наука_Хоризонт!$N:$O</definedName>
    <definedName name="Z_D1BD168D_40B4_46AB_88B7_64C22520CFA0_.wvu.FilterData" localSheetId="3" hidden="1">'ПОКАЗАТЕЛИ ПТП '!$A$1:$M$68</definedName>
    <definedName name="Z_D1BD168D_40B4_46AB_88B7_64C22520CFA0_.wvu.PrintArea" localSheetId="2" hidden="1">'ОПНО_визия евро'!$A$1:$O$30</definedName>
    <definedName name="Z_D1BD168D_40B4_46AB_88B7_64C22520CFA0_.wvu.PrintArea" localSheetId="7" hidden="1">'П3_Наука Изследвания'!$A$1:$M$14</definedName>
    <definedName name="Z_D1BD168D_40B4_46AB_88B7_64C22520CFA0_.wvu.PrintArea" localSheetId="6" hidden="1">П3_Наука_Инфраструктура!$A$1:$L$16</definedName>
    <definedName name="Z_D1BD168D_40B4_46AB_88B7_64C22520CFA0_.wvu.PrintArea" localSheetId="8" hidden="1">П3_Наука_Хоризонт!$A$1:$M$18</definedName>
    <definedName name="Z_D1BD168D_40B4_46AB_88B7_64C22520CFA0_.wvu.PrintArea" localSheetId="3" hidden="1">'ПОКАЗАТЕЛИ ПТП '!$A$1:$F$68</definedName>
    <definedName name="Z_D1BD168D_40B4_46AB_88B7_64C22520CFA0_.wvu.PrintArea" localSheetId="1" hidden="1">'Финансов план на ПТП'!$A$2:$M$18</definedName>
    <definedName name="Z_D1BD168D_40B4_46AB_88B7_64C22520CFA0_.wvu.PrintArea" localSheetId="0" hidden="1">'Финансови бюджетни '!$A$4:$L$16</definedName>
    <definedName name="Z_D55A2AC3_0B6C_43D7_B147_934C8D1C734D_.wvu.FilterData" localSheetId="3" hidden="1">'ПОКАЗАТЕЛИ ПТП '!$A$1:$M$68</definedName>
    <definedName name="Z_D9DEA245_E231_4080_A4D0_FA9FB96DEAC7_.wvu.FilterData" localSheetId="3" hidden="1">'ПОКАЗАТЕЛИ ПТП '!$A$1:$M$68</definedName>
    <definedName name="Z_DBD059FC_E21C_4532_B008_88F77AB2724E_.wvu.FilterData" localSheetId="3" hidden="1">'ПОКАЗАТЕЛИ ПТП '!$A$1:$M$68</definedName>
    <definedName name="Z_DCE53AB0_D536_4F68_9C51_8F24A0125ED3_.wvu.FilterData" localSheetId="3" hidden="1">'ПОКАЗАТЕЛИ ПТП '!$A$1:$F$68</definedName>
    <definedName name="Z_DD0EA6D3_BC8C_40D3_B12F_B88059C8E3DC_.wvu.Cols" localSheetId="8" hidden="1">П3_Наука_Хоризонт!$N:$O</definedName>
    <definedName name="Z_DD0EA6D3_BC8C_40D3_B12F_B88059C8E3DC_.wvu.FilterData" localSheetId="3" hidden="1">'ПОКАЗАТЕЛИ ПТП '!$A$1:$M$70</definedName>
    <definedName name="Z_DD0EA6D3_BC8C_40D3_B12F_B88059C8E3DC_.wvu.PrintArea" localSheetId="2" hidden="1">'ОПНО_визия евро'!$A$1:$O$30</definedName>
    <definedName name="Z_DD0EA6D3_BC8C_40D3_B12F_B88059C8E3DC_.wvu.PrintArea" localSheetId="7" hidden="1">'П3_Наука Изследвания'!$A$1:$M$14</definedName>
    <definedName name="Z_DD0EA6D3_BC8C_40D3_B12F_B88059C8E3DC_.wvu.PrintArea" localSheetId="6" hidden="1">П3_Наука_Инфраструктура!$A$1:$L$16</definedName>
    <definedName name="Z_DD0EA6D3_BC8C_40D3_B12F_B88059C8E3DC_.wvu.PrintArea" localSheetId="8" hidden="1">П3_Наука_Хоризонт!$A$1:$M$18</definedName>
    <definedName name="Z_DD0EA6D3_BC8C_40D3_B12F_B88059C8E3DC_.wvu.PrintArea" localSheetId="3" hidden="1">'ПОКАЗАТЕЛИ ПТП '!$A$1:$F$68</definedName>
    <definedName name="Z_DD0EA6D3_BC8C_40D3_B12F_B88059C8E3DC_.wvu.PrintArea" localSheetId="1" hidden="1">'Финансов план на ПТП'!$A$2:$M$18</definedName>
    <definedName name="Z_DD0EA6D3_BC8C_40D3_B12F_B88059C8E3DC_.wvu.PrintArea" localSheetId="0" hidden="1">'Финансови бюджетни '!$A$4:$L$16</definedName>
    <definedName name="Z_DE419AE1_55C7_41E8_9A94_E4062EF30970_.wvu.Cols" localSheetId="8" hidden="1">П3_Наука_Хоризонт!$N:$O</definedName>
    <definedName name="Z_DE419AE1_55C7_41E8_9A94_E4062EF30970_.wvu.FilterData" localSheetId="3" hidden="1">'ПОКАЗАТЕЛИ ПТП '!$A$1:$M$70</definedName>
    <definedName name="Z_DE419AE1_55C7_41E8_9A94_E4062EF30970_.wvu.PrintArea" localSheetId="2" hidden="1">'ОПНО_визия евро'!$A$1:$O$30</definedName>
    <definedName name="Z_DE419AE1_55C7_41E8_9A94_E4062EF30970_.wvu.PrintArea" localSheetId="7" hidden="1">'П3_Наука Изследвания'!$A$1:$M$14</definedName>
    <definedName name="Z_DE419AE1_55C7_41E8_9A94_E4062EF30970_.wvu.PrintArea" localSheetId="6" hidden="1">П3_Наука_Инфраструктура!$A$1:$L$16</definedName>
    <definedName name="Z_DE419AE1_55C7_41E8_9A94_E4062EF30970_.wvu.PrintArea" localSheetId="8" hidden="1">П3_Наука_Хоризонт!$A$1:$M$18</definedName>
    <definedName name="Z_DE419AE1_55C7_41E8_9A94_E4062EF30970_.wvu.PrintArea" localSheetId="3" hidden="1">'ПОКАЗАТЕЛИ ПТП '!$A$1:$F$68</definedName>
    <definedName name="Z_DE419AE1_55C7_41E8_9A94_E4062EF30970_.wvu.PrintArea" localSheetId="1" hidden="1">'Финансов план на ПТП'!$A$2:$M$18</definedName>
    <definedName name="Z_DE419AE1_55C7_41E8_9A94_E4062EF30970_.wvu.PrintArea" localSheetId="0" hidden="1">'Финансови бюджетни '!$A$4:$L$16</definedName>
    <definedName name="Z_DF2C4FDE_E1F5_4237_AAD0_8EC7F5D509D3_.wvu.FilterData" localSheetId="3" hidden="1">'ПОКАЗАТЕЛИ ПТП '!$A$1:$M$68</definedName>
    <definedName name="Z_DFC16DFA_D513_4368_8B92_9E363A26CBAC_.wvu.FilterData" localSheetId="3" hidden="1">'ПОКАЗАТЕЛИ ПТП '!$A$1:$F$68</definedName>
    <definedName name="Z_E02E7249_07F4_422F_A943_309A7F33CE91_.wvu.FilterData" localSheetId="3" hidden="1">'ПОКАЗАТЕЛИ ПТП '!$A$1:$M$70</definedName>
    <definedName name="Z_E07B67F4_8A17_4050_B9B8_81977BCB02E2_.wvu.Cols" localSheetId="8" hidden="1">П3_Наука_Хоризонт!$N:$O</definedName>
    <definedName name="Z_E07B67F4_8A17_4050_B9B8_81977BCB02E2_.wvu.Cols" localSheetId="3" hidden="1">'ПОКАЗАТЕЛИ ПТП '!#REF!</definedName>
    <definedName name="Z_E07B67F4_8A17_4050_B9B8_81977BCB02E2_.wvu.FilterData" localSheetId="3" hidden="1">'ПОКАЗАТЕЛИ ПТП '!$A$2:$F$57</definedName>
    <definedName name="Z_E07B67F4_8A17_4050_B9B8_81977BCB02E2_.wvu.PrintArea" localSheetId="2" hidden="1">'ОПНО_визия евро'!$A$1:$O$30</definedName>
    <definedName name="Z_E07B67F4_8A17_4050_B9B8_81977BCB02E2_.wvu.PrintArea" localSheetId="7" hidden="1">'П3_Наука Изследвания'!$A$1:$M$14</definedName>
    <definedName name="Z_E07B67F4_8A17_4050_B9B8_81977BCB02E2_.wvu.PrintArea" localSheetId="6" hidden="1">П3_Наука_Инфраструктура!$A$1:$L$16</definedName>
    <definedName name="Z_E07B67F4_8A17_4050_B9B8_81977BCB02E2_.wvu.PrintArea" localSheetId="8" hidden="1">П3_Наука_Хоризонт!$A$1:$M$18</definedName>
    <definedName name="Z_E07B67F4_8A17_4050_B9B8_81977BCB02E2_.wvu.PrintArea" localSheetId="3" hidden="1">'ПОКАЗАТЕЛИ ПТП '!$A$1:$F$39</definedName>
    <definedName name="Z_E07B67F4_8A17_4050_B9B8_81977BCB02E2_.wvu.PrintArea" localSheetId="1" hidden="1">'Финансов план на ПТП'!$A$2:$M$18</definedName>
    <definedName name="Z_E07B67F4_8A17_4050_B9B8_81977BCB02E2_.wvu.PrintArea" localSheetId="0" hidden="1">'Финансови бюджетни '!$A$4:$L$16</definedName>
    <definedName name="Z_E5A8F870_8CE7_4427_AA04_39625D3E8CB8_.wvu.FilterData" localSheetId="3" hidden="1">'ПОКАЗАТЕЛИ ПТП '!$A$1:$M$70</definedName>
    <definedName name="Z_E8A18EBC_3424_406E_AAEE_4A906005FE15_.wvu.FilterData" localSheetId="3" hidden="1">'ПОКАЗАТЕЛИ ПТП '!$A$1:$M$70</definedName>
    <definedName name="Z_ECC2290F_3EDB_4B87_95E7_39D418B19680_.wvu.FilterData" localSheetId="3" hidden="1">'ПОКАЗАТЕЛИ ПТП '!$A$1:$M$68</definedName>
    <definedName name="Z_EF25795A_3B6F_4507_92B9_EAF5B0884E9E_.wvu.FilterData" localSheetId="3" hidden="1">'ПОКАЗАТЕЛИ ПТП '!$A$1:$M$68</definedName>
    <definedName name="Z_F055BC8A_093D_41C6_B580_0ABA34413A59_.wvu.FilterData" localSheetId="3" hidden="1">'ПОКАЗАТЕЛИ ПТП '!$A$1:$M$68</definedName>
    <definedName name="Z_F296FD54_9E2C_49C0_807F_4D606DDA42BB_.wvu.FilterData" localSheetId="3" hidden="1">'ПОКАЗАТЕЛИ ПТП '!$A$1:$M$68</definedName>
    <definedName name="Z_F51B41C0_1BD7_44BF_8205_E6650A4106D4_.wvu.FilterData" localSheetId="3" hidden="1">'ПОКАЗАТЕЛИ ПТП '!$A$1:$M$68</definedName>
    <definedName name="Z_F5FEA9DB_91E2_48FB_899C_702683241BF8_.wvu.FilterData" localSheetId="3" hidden="1">'ПОКАЗАТЕЛИ ПТП '!$A$1:$M$68</definedName>
    <definedName name="Z_FBD83DB1_7D23_442D_AAFC_8EB3C39CCE98_.wvu.FilterData" localSheetId="3" hidden="1">'ПОКАЗАТЕЛИ ПТП '!$A$1:$M$68</definedName>
    <definedName name="Z_FE2955C0_88F2_4786_82CB_7C3712BA1FAE_.wvu.FilterData" localSheetId="3" hidden="1">'ПОКАЗАТЕЛИ ПТП '!$A$1:$M$68</definedName>
    <definedName name="Z_FF056BCE_8DD2_46C8_9A5C_CA39174333D6_.wvu.FilterData" localSheetId="3" hidden="1">'ПОКАЗАТЕЛИ ПТП '!$A$1:$M$68</definedName>
  </definedNames>
  <calcPr calcId="162913"/>
  <customWorkbookViews>
    <customWorkbookView name="Даниела Николова - Personal View" guid="{32A281B9-28FB-4D0E-8C01-BFBADAC8C3C9}" mergeInterval="0" personalView="1" maximized="1" xWindow="-8" yWindow="-8" windowWidth="1936" windowHeight="1056" tabRatio="782" activeSheetId="4"/>
    <customWorkbookView name="Полина Личева - Personal View" guid="{77799D3C-38E2-410A-80FA-AECD8E6AB89B}" mergeInterval="0" personalView="1" maximized="1" xWindow="-8" yWindow="-8" windowWidth="1936" windowHeight="1056" tabRatio="782" activeSheetId="4"/>
    <customWorkbookView name="user - Personal View" guid="{6B77031E-918C-40F9-A42D-E4EA46622624}" mergeInterval="0" personalView="1" maximized="1" xWindow="-9" yWindow="-9" windowWidth="1938" windowHeight="1048" tabRatio="782" activeSheetId="4"/>
    <customWorkbookView name="Daniela Nikolova - Personal View" guid="{DE419AE1-55C7-41E8-9A94-E4062EF30970}" mergeInterval="0" personalView="1" maximized="1" xWindow="-8" yWindow="-8" windowWidth="1936" windowHeight="1056" tabRatio="782" activeSheetId="4"/>
    <customWorkbookView name="Мария  Христова - Personal View" guid="{56BC42A3-D967-4F27-BD5A-CB0B8CB7F657}" mergeInterval="0" personalView="1" maximized="1" xWindow="-8" yWindow="-8" windowWidth="1936" windowHeight="1056" tabRatio="782" activeSheetId="4"/>
    <customWorkbookView name="Managing Authority  - Personal View" guid="{D1BD168D-40B4-46AB-88B7-64C22520CFA0}" mergeInterval="0" personalView="1" maximized="1" xWindow="-8" yWindow="-8" windowWidth="1936" windowHeight="1056" tabRatio="782" activeSheetId="2"/>
    <customWorkbookView name="Managing Authority - Personal View" guid="{2A6315F5-C9A2-43A7-B337-00FD30A3EB26}" mergeInterval="0" personalView="1" maximized="1" xWindow="-8" yWindow="-8" windowWidth="1936" windowHeight="1056" tabRatio="782" activeSheetId="4"/>
    <customWorkbookView name="Даниела Николов - Personal View" guid="{E07B67F4-8A17-4050-B9B8-81977BCB02E2}" mergeInterval="0" personalView="1" maximized="1" xWindow="-8" yWindow="-8" windowWidth="1936" windowHeight="1056" tabRatio="782" activeSheetId="4"/>
    <customWorkbookView name="Емилия Герджикова - Personal View" guid="{9CD5F6CE-0E1C-42DA-A598-93523B740CBC}" mergeInterval="0" personalView="1" xWindow="35" yWindow="34" windowWidth="1883" windowHeight="1007" tabRatio="782" activeSheetId="4"/>
    <customWorkbookView name="Антон Шопов - Personal View" guid="{72B67681-E295-44ED-80A6-F4B618B242B1}" mergeInterval="0" changesSavedWin="1" personalView="1" includePrintSettings="0" includeHiddenRowCol="0" maximized="1" xWindow="-8" yWindow="-8" windowWidth="1936" windowHeight="1056" tabRatio="782" activeSheetId="4"/>
    <customWorkbookView name="Programming &amp; Contracting Department, OPGG - Personal View" guid="{DD0EA6D3-BC8C-40D3-B12F-B88059C8E3DC}" mergeInterval="0" personalView="1" maximized="1" xWindow="-8" yWindow="-8" windowWidth="1936" windowHeight="1056" tabRatio="782" activeSheetId="4"/>
    <customWorkbookView name="Атанас Атанасов - Personal View" guid="{B426F9F8-EB1A-4D7B-9478-7E22D414CC12}" mergeInterval="0" personalView="1" maximized="1" xWindow="-8" yWindow="-8" windowWidth="1936" windowHeight="1056" tabRatio="782" activeSheetId="4"/>
    <customWorkbookView name="Елисавета Марашлиева-Нинова - Personal View" guid="{13EBDE9D-EC74-4522-9EED-363E735B4A78}" mergeInterval="0" personalView="1" maximized="1" xWindow="-8" yWindow="-8" windowWidth="1936" windowHeight="1056" tabRatio="782" activeSheetId="4"/>
    <customWorkbookView name="Цветелина Соракова - Personal View" guid="{AD504361-49F3-4986-BDBF-FB73E2299976}" mergeInterval="0" personalView="1" maximized="1" xWindow="-8" yWindow="-8" windowWidth="1936" windowHeight="1056" tabRatio="782" activeSheetId="4"/>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2" l="1"/>
  <c r="K70" i="4" l="1"/>
  <c r="N8" i="1" l="1"/>
  <c r="N7" i="1"/>
  <c r="L72" i="4" l="1"/>
  <c r="K72" i="4"/>
  <c r="L71" i="4"/>
  <c r="K71" i="4"/>
  <c r="L70" i="4"/>
  <c r="AD20" i="5" l="1"/>
  <c r="P20" i="5"/>
  <c r="C54" i="4" s="1"/>
  <c r="D54" i="4"/>
  <c r="C55" i="4" l="1"/>
  <c r="C56" i="4" s="1"/>
  <c r="D55" i="4"/>
  <c r="D56" i="4" s="1"/>
  <c r="P17" i="5" l="1"/>
  <c r="C45" i="4" s="1"/>
  <c r="AD17" i="5"/>
  <c r="D45" i="4" s="1"/>
  <c r="P3" i="5" l="1"/>
  <c r="AD3" i="5"/>
  <c r="P4" i="5"/>
  <c r="AD4" i="5"/>
  <c r="P5" i="5"/>
  <c r="AD5" i="5"/>
  <c r="P6" i="5"/>
  <c r="AD6" i="5"/>
  <c r="P7" i="5"/>
  <c r="AD7" i="5"/>
  <c r="P8" i="5"/>
  <c r="AD8" i="5"/>
  <c r="P9" i="5"/>
  <c r="AD9" i="5"/>
  <c r="P10" i="5"/>
  <c r="AD10" i="5"/>
  <c r="P11" i="5"/>
  <c r="AD11" i="5"/>
  <c r="P12" i="5"/>
  <c r="AD12" i="5"/>
  <c r="C13" i="5"/>
  <c r="D13" i="5"/>
  <c r="G13" i="5"/>
  <c r="H13" i="5"/>
  <c r="Q13" i="5"/>
  <c r="R13" i="5"/>
  <c r="U13" i="5"/>
  <c r="V13" i="5"/>
  <c r="AD13" i="5" s="1"/>
  <c r="C14" i="5"/>
  <c r="D14" i="5"/>
  <c r="E14" i="5"/>
  <c r="F14" i="5"/>
  <c r="H14" i="5"/>
  <c r="I14" i="5"/>
  <c r="Q14" i="5"/>
  <c r="AD14" i="5" s="1"/>
  <c r="R14" i="5"/>
  <c r="S14" i="5"/>
  <c r="T14" i="5"/>
  <c r="U14" i="5"/>
  <c r="V14" i="5"/>
  <c r="W14" i="5"/>
  <c r="P16" i="5"/>
  <c r="C42" i="4" s="1"/>
  <c r="AD16" i="5"/>
  <c r="D42" i="4" s="1"/>
  <c r="P18" i="5"/>
  <c r="AD18" i="5"/>
  <c r="P19" i="5"/>
  <c r="AD19" i="5"/>
  <c r="L21" i="5"/>
  <c r="P21" i="5"/>
  <c r="Z21" i="5"/>
  <c r="AD21" i="5"/>
  <c r="P22" i="5"/>
  <c r="AD22" i="5"/>
  <c r="P23" i="5"/>
  <c r="AD23" i="5"/>
  <c r="P24" i="5"/>
  <c r="AD24" i="5"/>
  <c r="P13" i="5" l="1"/>
  <c r="P14" i="5"/>
  <c r="C46" i="4" l="1"/>
  <c r="C47" i="4" s="1"/>
  <c r="D46" i="4" l="1"/>
  <c r="D47" i="4" s="1"/>
  <c r="I7" i="2" l="1"/>
  <c r="L7" i="2"/>
  <c r="O69" i="4" l="1"/>
  <c r="P69" i="4"/>
  <c r="Q69" i="4"/>
  <c r="R69" i="4"/>
  <c r="S69" i="4"/>
  <c r="N69" i="4"/>
  <c r="C39" i="4" l="1"/>
  <c r="D39" i="4" l="1"/>
  <c r="D6" i="4" l="1"/>
  <c r="D7" i="4" s="1"/>
  <c r="D8" i="4" s="1"/>
  <c r="D9" i="4"/>
  <c r="D10" i="4" s="1"/>
  <c r="D11" i="4" s="1"/>
  <c r="D30" i="4"/>
  <c r="D31" i="4" s="1"/>
  <c r="D32" i="4" s="1"/>
  <c r="D43" i="4"/>
  <c r="D44" i="4" s="1"/>
  <c r="D48" i="4"/>
  <c r="D49" i="4" s="1"/>
  <c r="D50" i="4" s="1"/>
  <c r="D51" i="4"/>
  <c r="D52" i="4" s="1"/>
  <c r="D53" i="4" s="1"/>
  <c r="D12" i="4"/>
  <c r="D13" i="4" s="1"/>
  <c r="D14" i="4" s="1"/>
  <c r="D21" i="4"/>
  <c r="D22" i="4" s="1"/>
  <c r="D23" i="4" s="1"/>
  <c r="D60" i="4"/>
  <c r="D61" i="4" s="1"/>
  <c r="D62" i="4" s="1"/>
  <c r="D63" i="4"/>
  <c r="D64" i="4" s="1"/>
  <c r="D65" i="4" s="1"/>
  <c r="D66" i="4"/>
  <c r="D3" i="4"/>
  <c r="D4" i="4" s="1"/>
  <c r="D5" i="4" s="1"/>
  <c r="C6" i="4"/>
  <c r="C7" i="4" s="1"/>
  <c r="C8" i="4" s="1"/>
  <c r="C9" i="4"/>
  <c r="C10" i="4" s="1"/>
  <c r="C11" i="4" s="1"/>
  <c r="C18" i="4"/>
  <c r="C19" i="4" s="1"/>
  <c r="C20" i="4" s="1"/>
  <c r="C30" i="4"/>
  <c r="C31" i="4" s="1"/>
  <c r="C32" i="4" s="1"/>
  <c r="C43" i="4"/>
  <c r="C44" i="4" s="1"/>
  <c r="C48" i="4"/>
  <c r="C49" i="4" s="1"/>
  <c r="C50" i="4" s="1"/>
  <c r="C51" i="4"/>
  <c r="C52" i="4" s="1"/>
  <c r="C53" i="4" s="1"/>
  <c r="C12" i="4"/>
  <c r="C13" i="4" s="1"/>
  <c r="C14" i="4" s="1"/>
  <c r="C21" i="4"/>
  <c r="C22" i="4" s="1"/>
  <c r="C23" i="4" s="1"/>
  <c r="C60" i="4"/>
  <c r="C61" i="4" s="1"/>
  <c r="C62" i="4" s="1"/>
  <c r="C63" i="4"/>
  <c r="C64" i="4" s="1"/>
  <c r="C65" i="4" s="1"/>
  <c r="C66" i="4"/>
  <c r="C3" i="4"/>
  <c r="C4" i="4" s="1"/>
  <c r="C5" i="4" s="1"/>
  <c r="C33" i="4" l="1"/>
  <c r="C34" i="4" s="1"/>
  <c r="C35" i="4" s="1"/>
  <c r="D33" i="4"/>
  <c r="D34" i="4" s="1"/>
  <c r="D35" i="4" s="1"/>
  <c r="D18" i="4" l="1"/>
  <c r="D19" i="4" s="1"/>
  <c r="D20" i="4" s="1"/>
  <c r="J11" i="2" l="1"/>
  <c r="L8" i="1" l="1"/>
  <c r="O8" i="1" s="1"/>
  <c r="M8" i="1" l="1"/>
  <c r="G11" i="2"/>
  <c r="G10" i="2"/>
  <c r="L6" i="1"/>
  <c r="H11" i="2"/>
  <c r="H10" i="2"/>
  <c r="L7" i="1"/>
  <c r="M7" i="1" l="1"/>
  <c r="O7" i="1"/>
  <c r="G18" i="2"/>
  <c r="H18" i="2"/>
  <c r="I18" i="1"/>
  <c r="K18" i="1"/>
  <c r="J18" i="1"/>
  <c r="I8" i="2" l="1"/>
  <c r="L8" i="2" l="1"/>
  <c r="M8" i="2" s="1"/>
  <c r="D57" i="4" l="1"/>
  <c r="D58" i="4" s="1"/>
  <c r="D59" i="4" s="1"/>
  <c r="L17" i="1" l="1"/>
  <c r="L16" i="1"/>
  <c r="L15" i="1"/>
  <c r="L14" i="1"/>
  <c r="L13" i="1"/>
  <c r="L12" i="1"/>
  <c r="L11" i="1"/>
  <c r="L10" i="1"/>
  <c r="L9" i="1"/>
  <c r="F18" i="1"/>
  <c r="E18" i="1"/>
  <c r="D18" i="1"/>
  <c r="G18" i="1" l="1"/>
  <c r="H18" i="1"/>
  <c r="L18" i="1" l="1"/>
  <c r="D36" i="4" l="1"/>
  <c r="D37" i="4" l="1"/>
  <c r="D38" i="4" s="1"/>
  <c r="C36" i="4"/>
  <c r="C37" i="4" s="1"/>
  <c r="C38" i="4" s="1"/>
  <c r="C57" i="4" l="1"/>
  <c r="C58" i="4" l="1"/>
  <c r="C59" i="4" s="1"/>
  <c r="I16" i="2"/>
  <c r="L16" i="2" s="1"/>
  <c r="I15" i="2"/>
  <c r="L15" i="2" s="1"/>
  <c r="I14" i="2"/>
  <c r="L14" i="2" s="1"/>
  <c r="I13" i="2"/>
  <c r="I12" i="2"/>
  <c r="L12" i="2" s="1"/>
  <c r="F11" i="2"/>
  <c r="J10" i="2"/>
  <c r="I10" i="2" s="1"/>
  <c r="F10" i="2"/>
  <c r="I9" i="2"/>
  <c r="L9" i="2" s="1"/>
  <c r="M7" i="2"/>
  <c r="F18" i="2" l="1"/>
  <c r="L11" i="2"/>
  <c r="M11" i="2" s="1"/>
  <c r="I18" i="2"/>
  <c r="J18" i="2"/>
  <c r="L10" i="2"/>
  <c r="L18" i="2" l="1"/>
  <c r="N18" i="2" s="1"/>
  <c r="M10" i="2"/>
  <c r="M18" i="2" l="1"/>
  <c r="N18" i="6" l="1"/>
  <c r="C49" i="6" l="1"/>
  <c r="I48" i="6" l="1"/>
  <c r="J6" i="6" l="1"/>
  <c r="J5" i="6"/>
  <c r="J7" i="6" s="1"/>
  <c r="H20" i="6" l="1"/>
  <c r="G19" i="6"/>
  <c r="G20" i="6" s="1"/>
  <c r="H32" i="6"/>
  <c r="G34" i="6"/>
  <c r="F34" i="6"/>
  <c r="E18" i="6" l="1"/>
  <c r="E20" i="6" s="1"/>
  <c r="G4" i="6" l="1"/>
  <c r="D36" i="6" l="1"/>
  <c r="D32" i="6" l="1"/>
  <c r="D28" i="6"/>
  <c r="E28" i="6" s="1"/>
  <c r="D24" i="6" l="1"/>
  <c r="D21" i="6"/>
  <c r="D16" i="6"/>
  <c r="D13" i="6" l="1"/>
  <c r="D12" i="6"/>
  <c r="D6" i="6"/>
  <c r="D14" i="6" l="1"/>
  <c r="A22" i="6"/>
  <c r="A19" i="6"/>
  <c r="A17" i="6" l="1"/>
  <c r="A12" i="6" l="1"/>
  <c r="A2" i="6"/>
  <c r="A5" i="6" l="1"/>
  <c r="J6" i="9" l="1"/>
  <c r="J7" i="9"/>
  <c r="L3" i="9"/>
  <c r="L6" i="9"/>
  <c r="L11" i="9" s="1"/>
  <c r="J11" i="9"/>
  <c r="J8" i="8"/>
  <c r="J13" i="8"/>
  <c r="J16" i="7"/>
  <c r="H18" i="8"/>
  <c r="G18" i="8"/>
  <c r="L6" i="7"/>
  <c r="L11" i="7" s="1"/>
  <c r="J6" i="7"/>
  <c r="L3" i="7"/>
  <c r="D3" i="8"/>
  <c r="G33" i="3" l="1"/>
  <c r="G28" i="3"/>
  <c r="M19" i="3"/>
  <c r="F22" i="3"/>
  <c r="G22" i="3" s="1"/>
  <c r="N10" i="3"/>
  <c r="M10" i="3"/>
  <c r="N4" i="3"/>
  <c r="D4" i="3" s="1"/>
  <c r="D7" i="3" s="1"/>
  <c r="K26" i="3" l="1"/>
  <c r="F21" i="3"/>
  <c r="G21" i="3" s="1"/>
  <c r="D5" i="3"/>
  <c r="C5" i="3" s="1"/>
  <c r="C4" i="3"/>
  <c r="F10" i="3"/>
  <c r="G10" i="3" s="1"/>
  <c r="F12" i="3"/>
  <c r="G12" i="3" s="1"/>
  <c r="O4" i="3"/>
  <c r="D6" i="3" s="1"/>
  <c r="C6" i="3" s="1"/>
  <c r="F16" i="3"/>
  <c r="L10" i="3" s="1"/>
  <c r="F14" i="3"/>
  <c r="G14" i="3" s="1"/>
  <c r="F19" i="3"/>
  <c r="G19" i="3" s="1"/>
  <c r="F23" i="3"/>
  <c r="G23" i="3" s="1"/>
  <c r="L3" i="3"/>
  <c r="F7" i="3" s="1"/>
  <c r="F11" i="3"/>
  <c r="G11" i="3" s="1"/>
  <c r="F13" i="3"/>
  <c r="F15" i="3"/>
  <c r="G15" i="3" s="1"/>
  <c r="F20" i="3"/>
  <c r="G20" i="3" s="1"/>
  <c r="B4" i="3" l="1"/>
  <c r="G11" i="9"/>
  <c r="H11" i="9" s="1"/>
  <c r="G6" i="9"/>
  <c r="G5" i="9"/>
  <c r="B6" i="3"/>
  <c r="G14" i="8"/>
  <c r="F25" i="3"/>
  <c r="L19" i="3" s="1"/>
  <c r="L26" i="3" s="1"/>
  <c r="L30" i="3" s="1"/>
  <c r="G16" i="3"/>
  <c r="G5" i="7"/>
  <c r="B5" i="3"/>
  <c r="G11" i="7"/>
  <c r="H11" i="7" s="1"/>
  <c r="G6" i="7"/>
  <c r="M26" i="3"/>
  <c r="G7" i="3"/>
  <c r="E7" i="3"/>
  <c r="G13" i="3"/>
  <c r="F17" i="3"/>
  <c r="G17" i="3" s="1"/>
  <c r="M3" i="3"/>
  <c r="G17" i="9" l="1"/>
  <c r="G20" i="9" s="1"/>
  <c r="I25" i="3"/>
  <c r="I24" i="3" s="1"/>
  <c r="N19" i="3" s="1"/>
  <c r="J3" i="9"/>
  <c r="G4" i="9"/>
  <c r="G3" i="9" s="1"/>
  <c r="H6" i="9" s="1"/>
  <c r="G25" i="3"/>
  <c r="J3" i="8"/>
  <c r="G19" i="8"/>
  <c r="G4" i="7"/>
  <c r="J3" i="7"/>
  <c r="G8" i="8"/>
  <c r="H8" i="8" s="1"/>
  <c r="H3" i="8" s="1"/>
  <c r="B7" i="3"/>
  <c r="N3" i="3"/>
  <c r="O3" i="3"/>
  <c r="F6" i="3" s="1"/>
  <c r="A8" i="6" l="1"/>
  <c r="F24" i="3"/>
  <c r="F26" i="3" s="1"/>
  <c r="J4" i="9"/>
  <c r="G20" i="8"/>
  <c r="H20" i="8" s="1"/>
  <c r="L3" i="8" s="1"/>
  <c r="L8" i="8" s="1"/>
  <c r="G21" i="8"/>
  <c r="G3" i="8"/>
  <c r="F5" i="3"/>
  <c r="F4" i="3"/>
  <c r="G6" i="3"/>
  <c r="E6" i="3"/>
  <c r="N26" i="3" l="1"/>
  <c r="G24" i="3"/>
  <c r="G26" i="3"/>
  <c r="F29" i="3"/>
  <c r="G4" i="3"/>
  <c r="F8" i="3"/>
  <c r="E4" i="3"/>
  <c r="G5" i="3"/>
  <c r="E5" i="3"/>
  <c r="I7" i="3" l="1"/>
  <c r="I6" i="3"/>
  <c r="G8" i="3"/>
  <c r="I4" i="3"/>
  <c r="F30" i="3"/>
  <c r="G30" i="3" s="1"/>
  <c r="G29" i="3"/>
  <c r="I5" i="3"/>
  <c r="E8" i="3"/>
  <c r="G3" i="7" l="1"/>
  <c r="H3" i="7" s="1"/>
  <c r="H6" i="7" s="1"/>
  <c r="J4" i="7"/>
  <c r="J11" i="7"/>
  <c r="L13" i="2"/>
</calcChain>
</file>

<file path=xl/sharedStrings.xml><?xml version="1.0" encoding="utf-8"?>
<sst xmlns="http://schemas.openxmlformats.org/spreadsheetml/2006/main" count="625" uniqueCount="494">
  <si>
    <r>
      <rPr>
        <sz val="11"/>
        <color theme="1"/>
        <rFont val="Times New Roman"/>
        <family val="1"/>
        <charset val="204"/>
      </rPr>
      <t>Програма за техническа помощ 2021-2027 г.</t>
    </r>
  </si>
  <si>
    <r>
      <rPr>
        <b/>
        <sz val="9"/>
        <color rgb="FF000000"/>
        <rFont val="Times New Roman"/>
        <family val="1"/>
        <charset val="204"/>
      </rPr>
      <t>EUR, принос на ЕС</t>
    </r>
  </si>
  <si>
    <r>
      <rPr>
        <b/>
        <sz val="13"/>
        <color rgb="FF000000"/>
        <rFont val="Times New Roman"/>
        <family val="1"/>
        <charset val="204"/>
      </rPr>
      <t>Таблица 10: Финансови бюджетни кредити по година</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</si>
  <si>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</si>
  <si>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</si>
  <si>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Общо</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</si>
  <si>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</si>
  <si>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</si>
  <si>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b/>
        <sz val="8"/>
        <rFont val="Times New Roman"/>
        <family val="1"/>
        <charset val="204"/>
      </rPr>
      <t>Финансови бюджетни кредити без стойност за гъвкавост‭ ‬</t>
    </r>
  </si>
  <si>
    <r>
      <rPr>
        <b/>
        <sz val="8"/>
        <rFont val="Times New Roman"/>
        <family val="1"/>
        <charset val="204"/>
      </rPr>
      <t>Стойност за гъвкавост</t>
    </r>
  </si>
  <si>
    <r>
      <rPr>
        <sz val="10"/>
        <color rgb="FF000000"/>
        <rFont val="Times New Roman"/>
        <family val="1"/>
        <charset val="204"/>
      </rPr>
      <t>ЕФРР</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</si>
  <si>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</si>
  <si>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</si>
  <si>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</si>
  <si>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</si>
  <si>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</si>
  <si>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</si>
  <si>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b/>
        <sz val="11"/>
        <color rgb="FF000000"/>
        <rFont val="Times New Roman"/>
        <family val="1"/>
        <charset val="204"/>
      </rPr>
      <t xml:space="preserve"> - </t>
    </r>
  </si>
  <si>
    <r>
      <rPr>
        <sz val="10"/>
        <color rgb="FF000000"/>
        <rFont val="Times New Roman"/>
        <family val="1"/>
        <charset val="204"/>
      </rPr>
      <t>ЕСФ+</t>
    </r>
  </si>
  <si>
    <r>
      <rPr>
        <sz val="10"/>
        <color rgb="FF000000"/>
        <rFont val="Times New Roman"/>
        <family val="1"/>
        <charset val="204"/>
      </rPr>
      <t>По-слабо развити региони</t>
    </r>
  </si>
  <si>
    <r>
      <rPr>
        <sz val="11"/>
        <color rgb="FF000000"/>
        <rFont val="Times New Roman"/>
        <family val="1"/>
        <charset val="204"/>
      </rPr>
      <t xml:space="preserve"> - </t>
    </r>
  </si>
  <si>
    <r>
      <rPr>
        <sz val="10"/>
        <color rgb="FF000000"/>
        <rFont val="Times New Roman"/>
        <family val="1"/>
        <charset val="204"/>
      </rPr>
      <t>По-силно развити региони</t>
    </r>
  </si>
  <si>
    <r>
      <rPr>
        <sz val="10"/>
        <color rgb="FF000000"/>
        <rFont val="Times New Roman"/>
        <family val="1"/>
        <charset val="204"/>
      </rPr>
      <t xml:space="preserve">Преход </t>
    </r>
  </si>
  <si>
    <r>
      <rPr>
        <sz val="10"/>
        <color rgb="FF000000"/>
        <rFont val="Times New Roman"/>
        <family val="1"/>
        <charset val="204"/>
      </rPr>
      <t>Най-отдалечени региони и северни слабо населени региони</t>
    </r>
  </si>
  <si>
    <r>
      <rPr>
        <b/>
        <sz val="10"/>
        <color rgb="FF000000"/>
        <rFont val="Times New Roman"/>
        <family val="1"/>
        <charset val="204"/>
      </rPr>
      <t>Общо</t>
    </r>
  </si>
  <si>
    <r>
      <rPr>
        <sz val="10"/>
        <color rgb="FF000000"/>
        <rFont val="Times New Roman"/>
        <family val="1"/>
        <charset val="204"/>
      </rPr>
      <t>Кохезионен фонд</t>
    </r>
  </si>
  <si>
    <r>
      <rPr>
        <sz val="10"/>
        <color rgb="FF000000"/>
        <rFont val="Times New Roman"/>
        <family val="1"/>
        <charset val="204"/>
      </rPr>
      <t>неприложимо</t>
    </r>
  </si>
  <si>
    <r>
      <rPr>
        <sz val="10"/>
        <color rgb="FF000000"/>
        <rFont val="Times New Roman"/>
        <family val="1"/>
        <charset val="204"/>
      </rPr>
      <t>ЕФМДР</t>
    </r>
  </si>
  <si>
    <r>
      <rPr>
        <sz val="10"/>
        <color rgb="FF000000"/>
        <rFont val="Times New Roman"/>
        <family val="1"/>
        <charset val="204"/>
      </rPr>
      <t>неприложимо</t>
    </r>
  </si>
  <si>
    <r>
      <rPr>
        <b/>
        <sz val="10"/>
        <color rgb="FF000000"/>
        <rFont val="Times New Roman"/>
        <family val="1"/>
        <charset val="204"/>
      </rPr>
      <t>Общо</t>
    </r>
  </si>
  <si>
    <r>
      <rPr>
        <b/>
        <sz val="11"/>
        <color rgb="FF000000"/>
        <rFont val="Times New Roman"/>
        <family val="1"/>
        <charset val="204"/>
      </rPr>
      <t xml:space="preserve"> - </t>
    </r>
  </si>
  <si>
    <r>
      <rPr>
        <b/>
        <sz val="11"/>
        <color theme="1"/>
        <rFont val="Times New Roman"/>
        <family val="1"/>
        <charset val="204"/>
      </rPr>
      <t>Таблица 11: 3.2‭ ‬Общо финансови бюджетни кредити по фонд и национално съфинансиране</t>
    </r>
  </si>
  <si>
    <r>
      <rPr>
        <b/>
        <sz val="11"/>
        <color rgb="FF000000"/>
        <rFont val="Times New Roman"/>
        <family val="1"/>
        <charset val="204"/>
      </rPr>
      <t>Цели на политиката Не или ТП</t>
    </r>
  </si>
  <si>
    <r>
      <rPr>
        <b/>
        <sz val="11"/>
        <color rgb="FF000000"/>
        <rFont val="Times New Roman"/>
        <family val="1"/>
        <charset val="204"/>
      </rPr>
      <t>Приоритет</t>
    </r>
  </si>
  <si>
    <r>
      <rPr>
        <b/>
        <sz val="11"/>
        <color rgb="FF000000"/>
        <rFont val="Times New Roman"/>
        <family val="1"/>
        <charset val="204"/>
      </rPr>
      <t>Основа за изчисляване на подпомагането от ЕС‭ (‬общо или публично‭)</t>
    </r>
  </si>
  <si>
    <r>
      <rPr>
        <b/>
        <sz val="11"/>
        <color rgb="FF000000"/>
        <rFont val="Times New Roman"/>
        <family val="1"/>
        <charset val="204"/>
      </rPr>
      <t>Фонд</t>
    </r>
  </si>
  <si>
    <r>
      <rPr>
        <b/>
        <sz val="11"/>
        <color rgb="FF000000"/>
        <rFont val="Times New Roman"/>
        <family val="1"/>
        <charset val="204"/>
      </rPr>
      <t>Категория региони</t>
    </r>
  </si>
  <si>
    <r>
      <rPr>
        <b/>
        <sz val="11"/>
        <color rgb="FF000000"/>
        <rFont val="Times New Roman"/>
        <family val="1"/>
        <charset val="204"/>
      </rPr>
      <t xml:space="preserve">Принос на ЕС </t>
    </r>
  </si>
  <si>
    <r>
      <rPr>
        <b/>
        <sz val="11"/>
        <color rgb="FF000000"/>
        <rFont val="Times New Roman"/>
        <family val="1"/>
        <charset val="204"/>
      </rPr>
      <t>Национален принос</t>
    </r>
  </si>
  <si>
    <r>
      <rPr>
        <b/>
        <sz val="11"/>
        <color rgb="FF000000"/>
        <rFont val="Times New Roman"/>
        <family val="1"/>
        <charset val="204"/>
      </rPr>
      <t>Ориентировъчно разпределение на националното участие</t>
    </r>
  </si>
  <si>
    <r>
      <rPr>
        <b/>
        <sz val="11"/>
        <color rgb="FF000000"/>
        <rFont val="Times New Roman"/>
        <family val="1"/>
        <charset val="204"/>
      </rPr>
      <t>Общо</t>
    </r>
  </si>
  <si>
    <r>
      <rPr>
        <b/>
        <sz val="11"/>
        <color rgb="FF000000"/>
        <rFont val="Times New Roman"/>
        <family val="1"/>
        <charset val="204"/>
      </rPr>
      <t>Процент на съфинансиране</t>
    </r>
  </si>
  <si>
    <r>
      <rPr>
        <b/>
        <sz val="11"/>
        <color rgb="FF000000"/>
        <rFont val="Times New Roman"/>
        <family val="1"/>
        <charset val="204"/>
      </rPr>
      <t>публично‭</t>
    </r>
  </si>
  <si>
    <r>
      <rPr>
        <b/>
        <sz val="11"/>
        <color rgb="FF000000"/>
        <rFont val="Times New Roman"/>
        <family val="1"/>
        <charset val="204"/>
      </rPr>
      <t>частно‭</t>
    </r>
  </si>
  <si>
    <r>
      <rPr>
        <sz val="11"/>
        <color rgb="FF000000"/>
        <rFont val="Times New Roman"/>
        <family val="1"/>
        <charset val="204"/>
      </rPr>
      <t>(а)</t>
    </r>
  </si>
  <si>
    <r>
      <rPr>
        <sz val="11"/>
        <color rgb="FF000000"/>
        <rFont val="Times New Roman"/>
        <family val="1"/>
        <charset val="204"/>
      </rPr>
      <t>(б‭)=(в‬)+‭(‬г)</t>
    </r>
  </si>
  <si>
    <r>
      <rPr>
        <sz val="11"/>
        <color rgb="FF000000"/>
        <rFont val="Times New Roman"/>
        <family val="1"/>
        <charset val="204"/>
      </rPr>
      <t>(в)</t>
    </r>
  </si>
  <si>
    <r>
      <rPr>
        <sz val="11"/>
        <color rgb="FF000000"/>
        <rFont val="Times New Roman"/>
        <family val="1"/>
        <charset val="204"/>
      </rPr>
      <t>(г)</t>
    </r>
  </si>
  <si>
    <r>
      <rPr>
        <sz val="11"/>
        <color rgb="FF000000"/>
        <rFont val="Times New Roman"/>
        <family val="1"/>
        <charset val="204"/>
      </rPr>
      <t>(д)=(‬a‭)‬+‭(‬б)**</t>
    </r>
  </si>
  <si>
    <r>
      <rPr>
        <sz val="11"/>
        <color rgb="FF000000"/>
        <rFont val="Times New Roman"/>
        <family val="1"/>
        <charset val="204"/>
      </rPr>
      <t>(е‭)=(‬a‭)‬/‭(д)**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</si>
  <si>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</si>
  <si>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</si>
  <si>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</si>
  <si>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</si>
  <si>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Преход</t>
    </r>
  </si>
  <si>
    <r>
      <rPr>
        <b/>
        <sz val="10"/>
        <color rgb="FF000000"/>
        <rFont val="Times New Roman"/>
        <family val="1"/>
        <charset val="204"/>
      </rPr>
      <t>TA</t>
    </r>
  </si>
  <si>
    <r>
      <rPr>
        <b/>
        <sz val="10"/>
        <color rgb="FF000000"/>
        <rFont val="Times New Roman"/>
        <family val="1"/>
        <charset val="204"/>
      </rPr>
      <t>Приоритет 1 ТП в съответствие с член 30, параграф 4</t>
    </r>
  </si>
  <si>
    <r>
      <rPr>
        <sz val="10"/>
        <color rgb="FF000000"/>
        <rFont val="Times New Roman"/>
        <family val="1"/>
        <charset val="204"/>
      </rPr>
      <t>публично‭</t>
    </r>
  </si>
  <si>
    <r>
      <rPr>
        <sz val="11"/>
        <color rgb="FF000000"/>
        <rFont val="Times New Roman"/>
        <family val="1"/>
        <charset val="204"/>
      </rPr>
      <t>ЕФРР</t>
    </r>
  </si>
  <si>
    <r>
      <rPr>
        <i/>
        <sz val="11"/>
        <color rgb="FF000000"/>
        <rFont val="Times New Roman"/>
        <family val="1"/>
        <charset val="204"/>
      </rPr>
      <t>По-слабо развити региони</t>
    </r>
  </si>
  <si>
    <r>
      <rPr>
        <b/>
        <sz val="11"/>
        <color rgb="FF000000"/>
        <rFont val="Times New Roman"/>
        <family val="1"/>
        <charset val="204"/>
      </rPr>
      <t>Общо ЕФРР</t>
    </r>
  </si>
  <si>
    <r>
      <rPr>
        <i/>
        <sz val="11"/>
        <color rgb="FF000000"/>
        <rFont val="Times New Roman"/>
        <family val="1"/>
        <charset val="204"/>
      </rPr>
      <t>По-силно развити региони</t>
    </r>
  </si>
  <si>
    <r>
      <rPr>
        <i/>
        <sz val="11"/>
        <color rgb="FF000000"/>
        <rFont val="Times New Roman"/>
        <family val="1"/>
        <charset val="204"/>
      </rPr>
      <t>Преход</t>
    </r>
  </si>
  <si>
    <r>
      <rPr>
        <i/>
        <sz val="11"/>
        <color rgb="FF000000"/>
        <rFont val="Times New Roman"/>
        <family val="1"/>
        <charset val="204"/>
      </rPr>
      <t>По-слабо развити региони</t>
    </r>
  </si>
  <si>
    <r>
      <rPr>
        <i/>
        <sz val="11"/>
        <color rgb="FF000000"/>
        <rFont val="Times New Roman"/>
        <family val="1"/>
        <charset val="204"/>
      </rPr>
      <t xml:space="preserve">Най-отдалечени </t>
    </r>
  </si>
  <si>
    <r>
      <rPr>
        <b/>
        <sz val="11"/>
        <color rgb="FF000000"/>
        <rFont val="Times New Roman"/>
        <family val="1"/>
        <charset val="204"/>
      </rPr>
      <t>Общо ЕСФ+</t>
    </r>
  </si>
  <si>
    <r>
      <rPr>
        <i/>
        <sz val="8"/>
        <color rgb="FF000000"/>
        <rFont val="Times New Roman"/>
        <family val="1"/>
        <charset val="204"/>
      </rPr>
      <t>По-силно развити региони</t>
    </r>
  </si>
  <si>
    <r>
      <rPr>
        <i/>
        <sz val="8"/>
        <color rgb="FF000000"/>
        <rFont val="Times New Roman"/>
        <family val="1"/>
        <charset val="204"/>
      </rPr>
      <t>Преход</t>
    </r>
  </si>
  <si>
    <r>
      <rPr>
        <i/>
        <sz val="8"/>
        <color rgb="FF000000"/>
        <rFont val="Times New Roman"/>
        <family val="1"/>
        <charset val="204"/>
      </rPr>
      <t>По-слабо развити региони</t>
    </r>
  </si>
  <si>
    <r>
      <rPr>
        <i/>
        <sz val="8"/>
        <color rgb="FF000000"/>
        <rFont val="Times New Roman"/>
        <family val="1"/>
        <charset val="204"/>
      </rPr>
      <t>Специално разпределени средства за най-отдалечените или северни слабо населени региони</t>
    </r>
  </si>
  <si>
    <r>
      <rPr>
        <b/>
        <sz val="11"/>
        <color rgb="FF000000"/>
        <rFont val="Times New Roman"/>
        <family val="1"/>
        <charset val="204"/>
      </rPr>
      <t>Общо КФ</t>
    </r>
  </si>
  <si>
    <r>
      <rPr>
        <sz val="11"/>
        <color rgb="FF000000"/>
        <rFont val="Times New Roman"/>
        <family val="1"/>
        <charset val="204"/>
      </rPr>
      <t>неприложимо</t>
    </r>
  </si>
  <si>
    <r>
      <rPr>
        <b/>
        <sz val="11"/>
        <color rgb="FF000000"/>
        <rFont val="Times New Roman"/>
        <family val="1"/>
        <charset val="204"/>
      </rPr>
      <t>Общо</t>
    </r>
  </si>
  <si>
    <r>
      <rPr>
        <b/>
        <sz val="11"/>
        <color theme="1"/>
        <rFont val="Times New Roman"/>
        <family val="1"/>
        <charset val="204"/>
      </rPr>
      <t>Идентификационен номер</t>
    </r>
  </si>
  <si>
    <r>
      <rPr>
        <b/>
        <sz val="11"/>
        <color theme="1"/>
        <rFont val="Times New Roman"/>
        <family val="1"/>
        <charset val="204"/>
      </rPr>
      <t>Бенефициенти и заинтересовани страни, допринасящи за постигането на показатели:
Показатели:</t>
    </r>
  </si>
  <si>
    <r>
      <rPr>
        <b/>
        <sz val="11"/>
        <color theme="1"/>
        <rFont val="Times New Roman"/>
        <family val="1"/>
        <charset val="204"/>
      </rPr>
      <t>Етапна цел (2024)</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</si>
  <si>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</si>
  <si>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</si>
  <si>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</si>
  <si>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АОП</t>
    </r>
  </si>
  <si>
    <r>
      <rPr>
        <sz val="9"/>
        <rFont val="Times New Roman"/>
        <family val="1"/>
        <charset val="204"/>
      </rPr>
      <t xml:space="preserve">НРПД </t>
    </r>
  </si>
  <si>
    <r>
      <rPr>
        <sz val="9"/>
        <rFont val="Times New Roman"/>
        <family val="1"/>
        <charset val="204"/>
      </rPr>
      <t>Общини</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</si>
  <si>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</si>
  <si>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</si>
  <si>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</si>
  <si>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</si>
  <si>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</si>
  <si>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9"/>
        <rFont val="Times New Roman"/>
        <family val="1"/>
        <charset val="204"/>
      </rPr>
      <t>ЦКЗ</t>
    </r>
  </si>
  <si>
    <r>
      <rPr>
        <sz val="9"/>
        <rFont val="Times New Roman"/>
        <family val="1"/>
        <charset val="204"/>
      </rPr>
      <t>ОО</t>
    </r>
  </si>
  <si>
    <r>
      <rPr>
        <sz val="9"/>
        <rFont val="Times New Roman"/>
        <family val="1"/>
        <charset val="204"/>
      </rPr>
      <t>СчО</t>
    </r>
  </si>
  <si>
    <r>
      <rPr>
        <sz val="9"/>
        <rFont val="Times New Roman"/>
        <family val="1"/>
        <charset val="204"/>
      </rPr>
      <t>НРПД</t>
    </r>
  </si>
  <si>
    <r>
      <rPr>
        <sz val="9"/>
        <rFont val="Times New Roman"/>
        <family val="1"/>
        <charset val="204"/>
      </rPr>
      <t>Гражданско общество</t>
    </r>
  </si>
  <si>
    <r>
      <rPr>
        <sz val="9"/>
        <rFont val="Times New Roman"/>
        <family val="1"/>
        <charset val="204"/>
      </rPr>
      <t>27 ОИЦ</t>
    </r>
  </si>
  <si>
    <r>
      <rPr>
        <sz val="9"/>
        <rFont val="Times New Roman"/>
        <family val="1"/>
        <charset val="204"/>
      </rPr>
      <t>Външни оценители на проекти</t>
    </r>
  </si>
  <si>
    <r>
      <rPr>
        <sz val="9"/>
        <rFont val="Times New Roman"/>
        <family val="1"/>
        <charset val="204"/>
      </rPr>
      <t>УО на ПТП</t>
    </r>
  </si>
  <si>
    <r>
      <rPr>
        <b/>
        <sz val="9"/>
        <color theme="1"/>
        <rFont val="Times New Roman"/>
        <family val="1"/>
        <charset val="204"/>
      </rPr>
      <t>Общо</t>
    </r>
  </si>
  <si>
    <r>
      <rPr>
        <sz val="11.5"/>
        <color theme="1"/>
        <rFont val="Times New Roman"/>
        <family val="1"/>
        <charset val="204"/>
      </rPr>
      <t xml:space="preserve">(О1-1) </t>
    </r>
  </si>
  <si>
    <r>
      <rPr>
        <sz val="11.5"/>
        <color theme="1"/>
        <rFont val="Times New Roman"/>
        <family val="1"/>
        <charset val="204"/>
      </rPr>
      <t>Проверки и одити, извършвани от одитиращи и/или контролни органи</t>
    </r>
  </si>
  <si>
    <r>
      <rPr>
        <sz val="11.5"/>
        <color theme="1"/>
        <rFont val="Times New Roman"/>
        <family val="1"/>
        <charset val="204"/>
      </rPr>
      <t>Нови функционалности на ИСУН</t>
    </r>
  </si>
  <si>
    <r>
      <rPr>
        <sz val="11.5"/>
        <color theme="1"/>
        <rFont val="Times New Roman"/>
        <family val="1"/>
        <charset val="204"/>
      </rPr>
      <t>Намалена административна тежест за кандидатите</t>
    </r>
  </si>
  <si>
    <r>
      <rPr>
        <sz val="11.5"/>
        <color theme="1"/>
        <rFont val="Times New Roman"/>
        <family val="1"/>
        <charset val="204"/>
      </rPr>
      <t>Уникални посещения на eufunds.bg годишно</t>
    </r>
  </si>
  <si>
    <r>
      <rPr>
        <sz val="11.5"/>
        <color theme="1"/>
        <rFont val="Times New Roman"/>
        <family val="1"/>
        <charset val="204"/>
      </rPr>
      <t>Импресии в социалните мрежи и платформи</t>
    </r>
  </si>
  <si>
    <r>
      <rPr>
        <sz val="11.5"/>
        <color theme="1"/>
        <rFont val="Times New Roman"/>
        <family val="1"/>
        <charset val="204"/>
      </rPr>
      <t xml:space="preserve">Ниво на информираност за европейските фондове сред широката общественост
</t>
    </r>
  </si>
  <si>
    <t>КОНЦЕПЦИЯ ЗА  ПРОГРАМА "НАУКА И ОБРАЗОВАНИЕ" 2021-2027 Г.</t>
  </si>
  <si>
    <t>Разпределение на финансовия ресурс по ПО 1</t>
  </si>
  <si>
    <t>Група дейности</t>
  </si>
  <si>
    <t>ФИ ЕС</t>
  </si>
  <si>
    <t>БФП+ФИ ЕС</t>
  </si>
  <si>
    <t>БФП+ФИ</t>
  </si>
  <si>
    <t>Бюджет в евро ЕС</t>
  </si>
  <si>
    <t>Бюджет в евро</t>
  </si>
  <si>
    <t>Бюджет в лева</t>
  </si>
  <si>
    <t>Начин на изпълнение</t>
  </si>
  <si>
    <t>% Разпределение от ПО1</t>
  </si>
  <si>
    <t>% за Хоризонт</t>
  </si>
  <si>
    <t>бюджет ПO 1 общо</t>
  </si>
  <si>
    <t>финасови инструменти (20%)</t>
  </si>
  <si>
    <t>БФП остатък бюджет ПO 1</t>
  </si>
  <si>
    <t>бюджет инфраструктура и оборудване (70%)</t>
  </si>
  <si>
    <t>бюджет научни изследвания (30%)</t>
  </si>
  <si>
    <t>ПО 1 Научна инфраструктура и изследвания (ЕФРР)</t>
  </si>
  <si>
    <t>Хоризонт Европа - инфраструктура и seal of excellence - инфраструктура, оборудване и изследвания</t>
  </si>
  <si>
    <t>Директно предоставяне</t>
  </si>
  <si>
    <t>Центрове за върхови постижения и Центрове за компетентност - инфраструктура, оборудване и научни изследвания (Директно предоставяне)</t>
  </si>
  <si>
    <t>Директно предоставяне</t>
  </si>
  <si>
    <t xml:space="preserve">Научни изследвания </t>
  </si>
  <si>
    <t>Конкретен бенефициент или Междинно звено за подбор на проекти/ АНИ (Агенция за наука и иновации )</t>
  </si>
  <si>
    <t>Финансови иснтрументи - заеми, гаранции, рисков капитал</t>
  </si>
  <si>
    <t>Фонд на фондовете/фонд за технологичен трансфер</t>
  </si>
  <si>
    <t>Общо за приоритетната ос</t>
  </si>
  <si>
    <t>ПО 2 Модернизация и качество на образованието (ЕСФ+)</t>
  </si>
  <si>
    <t>% Разпределение от ПО2</t>
  </si>
  <si>
    <t>бюджет ПО 2 общо</t>
  </si>
  <si>
    <t xml:space="preserve">Териториален иснтрумент </t>
  </si>
  <si>
    <t>Директно предоставяне</t>
  </si>
  <si>
    <t>Конкурентен подбор</t>
  </si>
  <si>
    <t>Качество в училищното образованието+ квалификация на педаг. спец. (промяна на уч. програми и методи на преподаване, нови умения на учениците и пед. Специалисти, мобилност)</t>
  </si>
  <si>
    <t>Директно предоставяне на МОН</t>
  </si>
  <si>
    <t>Модернизация на образованието/ ИКТ+ квалификация на педаг. спец. (иновации, дигитални ресурси, интерактивно съдържание, дигитална креативност, нови умения на учениците и пед. Специалисти, граждански ценности)</t>
  </si>
  <si>
    <t>Директно предоставяне на МОН</t>
  </si>
  <si>
    <t>Допълняемост с централно управлявани инструменти - Еразъм +, Хоризонт Европа, Мария Кюри</t>
  </si>
  <si>
    <t>Директно предоставяне на МОН</t>
  </si>
  <si>
    <t>Валидиране на знания и умения, професионални центрове за върхови постижения, учебно тренировъчни фирми, ученически практики</t>
  </si>
  <si>
    <t>Процедура на подбор с браншови организации</t>
  </si>
  <si>
    <t>Студентски практики (връзка с пазара на труда)</t>
  </si>
  <si>
    <t>Процедура на подбор висши училища</t>
  </si>
  <si>
    <t>Висше образование (дигитализация, подобряване качеството на управление и преподаване, учебни програми, връзка с пазара на труда, участие в международни мрежи, мобилност)</t>
  </si>
  <si>
    <t>Процедура на подбор висши училища</t>
  </si>
  <si>
    <r>
      <rPr>
        <b/>
        <sz val="12"/>
        <color theme="1"/>
        <rFont val="Candara"/>
        <family val="2"/>
        <charset val="204"/>
      </rPr>
      <t>Интегрирани териториални инвестиции (ИТИ)</t>
    </r>
    <r>
      <rPr>
        <sz val="12"/>
        <color theme="1"/>
        <rFont val="Candara"/>
        <family val="2"/>
        <charset val="204"/>
      </rPr>
      <t xml:space="preserve"> Професионално образование и обучение +квалификация на педаг. спец. (връзка с пазара на труда, ЦПО, дуална система на обучение, ученически практики)</t>
    </r>
  </si>
  <si>
    <t>Процедура на подбор</t>
  </si>
  <si>
    <t>Общо за приоритетната ос</t>
  </si>
  <si>
    <t xml:space="preserve">ПО 3 Приобщаващо образование (ЕСФ+)
</t>
  </si>
  <si>
    <t>% Разпределение от ПО2</t>
  </si>
  <si>
    <t>бюджет ПО 2 общо</t>
  </si>
  <si>
    <t xml:space="preserve">Териториален иснтрумент </t>
  </si>
  <si>
    <t>Директно предоставяне</t>
  </si>
  <si>
    <t>Конкурентен подбор</t>
  </si>
  <si>
    <t xml:space="preserve">Намаляване на преждевременно напусналите училище (обща подкрепа за личностно развитие, десегрегация,  ученици с пропуски в усвояването на уч. материал, ученици в риск от отпадане от обр. система) </t>
  </si>
  <si>
    <t>Директно предоставяне на МОН</t>
  </si>
  <si>
    <t>Активно приобщаване в предучилищно образование (обхват на децата, разработване на специализирани методики, педагогическа, психологическа и социална подкрепа на деца от уязвими социално слаби групи, промяна на уч. програми и методи на преподаване)</t>
  </si>
  <si>
    <t>Директно предоставяне на МОН</t>
  </si>
  <si>
    <t>Включващо обучение (подпомагане на младежи с увреждания и от уязвими социално слаби групи за кандидатстване във висши училища, алтернативни модели за работа с ученици с девиантно поведение, развитие на подкрепяща среда за деца и ученици със СОП)</t>
  </si>
  <si>
    <t>Директно предоставяне на МОН</t>
  </si>
  <si>
    <t>Талантливи деца и ученици с изявени дарби</t>
  </si>
  <si>
    <t>Директно предоставяне на МОН</t>
  </si>
  <si>
    <t xml:space="preserve">Ограмотяване на възрастни </t>
  </si>
  <si>
    <t>Процедура на подбор</t>
  </si>
  <si>
    <t>Проходимост на уязвими групи в отделните образователни етапи и достъп до висше образование.</t>
  </si>
  <si>
    <t>Процедура на подбор</t>
  </si>
  <si>
    <r>
      <rPr>
        <b/>
        <sz val="12"/>
        <color theme="1"/>
        <rFont val="Candara"/>
        <family val="2"/>
        <charset val="204"/>
      </rPr>
      <t>ВОМР -</t>
    </r>
    <r>
      <rPr>
        <sz val="12"/>
        <color theme="1"/>
        <rFont val="Candara"/>
        <family val="2"/>
        <charset val="204"/>
      </rPr>
      <t xml:space="preserve"> Работа с родители от уязвими групи (работа с родителите на децата в риск от ранно отпадане чрез включване на представители на неправителствени организации, образователни медиатори, социални работници, ромски авторитети и лидери, насърчаване на сътрудничеството с педагогическите специалисти)</t>
    </r>
  </si>
  <si>
    <t>Процедура на подбор</t>
  </si>
  <si>
    <t>бюджет ЕСФ общо</t>
  </si>
  <si>
    <t xml:space="preserve">Териториален иснтрумент </t>
  </si>
  <si>
    <t>Директно предоставяне</t>
  </si>
  <si>
    <t>Конкурентен подбор</t>
  </si>
  <si>
    <t>Общо за приоритетната ос</t>
  </si>
  <si>
    <t xml:space="preserve">ПО4 Техническа помощ (ЕСФ+)
</t>
  </si>
  <si>
    <t>Общо за приоритетната ос</t>
  </si>
  <si>
    <t>Общо за ЕСФ</t>
  </si>
  <si>
    <t>бюджет ОПНО общо</t>
  </si>
  <si>
    <t xml:space="preserve">Териториален иснтрумент </t>
  </si>
  <si>
    <t>Общо за оперативната програма</t>
  </si>
  <si>
    <t>общ брой деца</t>
  </si>
  <si>
    <t>общо учащи</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</si>
  <si>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</si>
  <si>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</si>
  <si>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</si>
  <si>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</si>
  <si>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</si>
  <si>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</si>
  <si>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</si>
  <si>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</si>
  <si>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</si>
  <si>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</si>
  <si>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</si>
  <si>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</si>
  <si>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Повишаване на конкурентоспособността и ефикасността на системата за научни изследвания, като се постави акцент върху постиганите резултати и се създадат стимули за привличане на квалифицирани научни изследователи (напр. подобряване на условията на труд, международно сътрудничество и мобилност, сътрудничество с бизнеса);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</si>
  <si>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</si>
  <si>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r>
      <rPr>
        <b/>
        <sz val="9"/>
        <color theme="1"/>
        <rFont val="Times New Roman"/>
        <family val="1"/>
        <charset val="204"/>
      </rPr>
      <t>Приоритет 3: Научна инфраструктура и приложни изследвания</t>
    </r>
    <r>
      <rPr>
        <sz val="9"/>
        <color theme="1"/>
        <rFont val="Times New Roman"/>
        <family val="1"/>
        <charset val="204"/>
      </rPr>
      <t xml:space="preserve">
Цел: Подобряване на капацитета за научни изследвания, насочени към резултати, чрез модернизация на научната инфраструктура, подобряване на условията на труд и мобилност на учените. 
</t>
    </r>
  </si>
  <si>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</si>
  <si>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ИТ свързаност и съпътстващата инфраструктура в стратегически определени научни центрове за върхови постижения и центрове за компетентност</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</si>
  <si>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</si>
  <si>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</si>
  <si>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</si>
  <si>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</si>
  <si>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</si>
  <si>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стратегически определени научни центрове за върхови постижения и центрове за компетентност</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</si>
  <si>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</si>
  <si>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</si>
  <si>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</si>
  <si>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на  в стратегически определени научни центрове за върхови постижения и центрове за компетентност, чрез:</t>
  </si>
  <si>
    <t>RCO 07 Научноизследователски институции участващи в съвместни проекти за научни изследвания;</t>
  </si>
  <si>
    <t xml:space="preserve">Изграждане на мрежи и съвместна научно-изследователска дейност с водещи европейски научни организации и университети, подкрепа за присъединяване към пан-европейски научно-изследователски инфраструктури </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</si>
  <si>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</si>
  <si>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</si>
  <si>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в стратегически определени научни центрове за върхови постижения и центрове за компетентност,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</si>
  <si>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</si>
  <si>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</si>
  <si>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</si>
  <si>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</si>
  <si>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установяването, придобиването, защитаването и използване, управление  и прехвърляне на права по интелектуална собственостна п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</si>
  <si>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</si>
  <si>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</si>
  <si>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5. Подкрепа за високотехнологични стартиращи предприятия на подкрепените   стратегически определени научни центрове за върхови постижения и центрове за компетентност</t>
  </si>
  <si>
    <t>RCO 05 - Стартиращи предприятия</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</si>
  <si>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</si>
  <si>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</si>
  <si>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</si>
  <si>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</si>
  <si>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</si>
  <si>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видове интервенции и примерна разбивка на програмираните средства в зависимост от вида интервенция или област на подпомагане;</t>
  </si>
  <si>
    <t xml:space="preserve">План за финансиране (в евро, европейско финансиране) 
БФП </t>
  </si>
  <si>
    <t>В т.ч. планирано използване на финансови инструменти;</t>
  </si>
  <si>
    <t>показателите за крайния продукт исъс съответните междинни цели и целеви стойности;</t>
  </si>
  <si>
    <t>Стойност</t>
  </si>
  <si>
    <t>показателите за резултата със съответните междинни цели и целеви стойности;</t>
  </si>
  <si>
    <t>Стойност</t>
  </si>
  <si>
    <t>основните целеви групи;</t>
  </si>
  <si>
    <t>развиване на уменията в университетите и научноизследователските институции с цел увеличаване на търговската жизнеспособност и пазарното значение на научноизследователските им проекти и на способността за участие в научноизследователски консорциуми;
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</si>
  <si>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</si>
  <si>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</si>
  <si>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</si>
  <si>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</si>
  <si>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</si>
  <si>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</si>
  <si>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Изследователи в научни организации, преподаватели в университети, докторанти, постдокторанти, млади учени, студенти, представители на бизнеса.</t>
  </si>
  <si>
    <t>3. Интернационализация,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</si>
  <si>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</si>
  <si>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</si>
  <si>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</si>
  <si>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</si>
  <si>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</si>
  <si>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</si>
  <si>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</si>
  <si>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</si>
  <si>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свободен достъп до тях</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</si>
  <si>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 Оценка на пазарния потенциал на научните разработки;</t>
  </si>
  <si>
    <t xml:space="preserve">• участие в научни форуми, </t>
  </si>
  <si>
    <t>• организиране на международни научни форуми;</t>
  </si>
  <si>
    <t xml:space="preserve">5. Подкрепа за високотехнологични стартиращи предприятия </t>
  </si>
  <si>
    <t>RCO 05 - Стартиращи предприятия</t>
  </si>
  <si>
    <t>общо 009+021</t>
  </si>
  <si>
    <t>ЦК+ЦВП</t>
  </si>
  <si>
    <t>1.2 Изследвания</t>
  </si>
  <si>
    <t xml:space="preserve">Индикативен брой проекти </t>
  </si>
  <si>
    <t>Нужди</t>
  </si>
  <si>
    <t xml:space="preserve">Цел на политиката </t>
  </si>
  <si>
    <t>Приоритет</t>
  </si>
  <si>
    <t>Специфични цели</t>
  </si>
  <si>
    <t>свързаните видове действия, включително списък на планираните операции от стратегическо значение и на техния очакван принос за постигането на тези специфични цели и за макрорегионалните стратегии и стратегиите за морските басейни, където е целесъобразно;</t>
  </si>
  <si>
    <t>показателите за крайния продукт исъс съответните междинни цели и целеви стойности;</t>
  </si>
  <si>
    <t>показателите за резултата със съответните междинни цели и целеви стойности;</t>
  </si>
  <si>
    <t>Кодове на интервенции</t>
  </si>
  <si>
    <t xml:space="preserve">План за финансиране (в евро, европейско финансиране)  </t>
  </si>
  <si>
    <t>видове интервенции и примерна разбивка на програмираните средства в зависимост от вида интервенция или област на подпомагане;</t>
  </si>
  <si>
    <t>планирано използване на техническа помощ в съответствие с членове 30—32 и съответните видове интервенции;</t>
  </si>
  <si>
    <t>планирано използване на финансови инструменти;</t>
  </si>
  <si>
    <t>основните целеви групи;</t>
  </si>
  <si>
    <r>
      <t xml:space="preserve">специфични целеви територии, </t>
    </r>
    <r>
      <rPr>
        <b/>
        <sz val="9"/>
        <color rgb="FF000000"/>
        <rFont val="Times New Roman"/>
        <family val="1"/>
        <charset val="204"/>
      </rPr>
      <t xml:space="preserve">включително </t>
    </r>
    <r>
      <rPr>
        <b/>
        <sz val="9"/>
        <color theme="1"/>
        <rFont val="Times New Roman"/>
        <family val="1"/>
        <charset val="204"/>
      </rPr>
      <t xml:space="preserve">планирано </t>
    </r>
    <r>
      <rPr>
        <b/>
        <sz val="9"/>
        <color rgb="FF000000"/>
        <rFont val="Times New Roman"/>
        <family val="1"/>
        <charset val="204"/>
      </rPr>
      <t>използване на интегрирани териториални инвестиции, водено от общностите местно развитие или други териториални инструменти;</t>
    </r>
  </si>
  <si>
    <r>
      <t>междурегионални и транснационални действия, при които бенефициерите се намират поне в още една друга държава членка</t>
    </r>
    <r>
      <rPr>
        <b/>
        <sz val="9"/>
        <color rgb="FF000000"/>
        <rFont val="Times New Roman"/>
        <family val="1"/>
        <charset val="204"/>
      </rPr>
      <t>;</t>
    </r>
  </si>
  <si>
    <t>подпомагане на сътрудничеството между научните изследвания и предприятията, трансфера на технологии и търговската реализация на резултатите от научните изследвания;</t>
  </si>
  <si>
    <t xml:space="preserve">Цел на политиката 1 "По-интелигентна Европа чрез насърчаване на иновативния и интелигентен икономически преход </t>
  </si>
  <si>
    <t xml:space="preserve">Приоритет 3: Научна инфраструктура и приложни изследвания
</t>
  </si>
  <si>
    <t>Специфична цел i) Засилване на капацитета за научни изследвания и иновации и на въвеждането на модерни технологии</t>
  </si>
  <si>
    <t>1. Модернизиране на научноизследователската инфраструктура и оборудване, в т.ч. съпътстващата инфраструктура в одобрени проекти по направление "Sharing Excellence" на Хоризонт Европа.</t>
  </si>
  <si>
    <t xml:space="preserve">003-Инвестиции в дълготрайни активи на публични изследователски центрове и висши учебни заведения пряко свързани с научноизследователски и иновационни дейности;
</t>
  </si>
  <si>
    <t>RCO 08 Номинална стойност на оборудването за научни изследвания и иновации</t>
  </si>
  <si>
    <t xml:space="preserve">RCR 01 Работни места, създадени в подкрепяните инфраструктури
</t>
  </si>
  <si>
    <t>Изследователи в научни организации, преподаватели в университети, докторанти, постдокторанти, млади учени, студенти, представители на бизнеса.</t>
  </si>
  <si>
    <t>006- Инвестиции в нематериални активи на публични изследователски центрове и висши учебни заведения, пряко свързани с научноизследователски и иновационни дейности;</t>
  </si>
  <si>
    <t>Общо 003+006</t>
  </si>
  <si>
    <t>2. Подкрепа за пазарно ориентирани приложни научни изследвания (TRL 4-6), включително чрез привличане на млади учени и международно утвърдени висококвалифицирани учени за проекти по стълб II на Хоризонт Европа, получили печат за високи постижения</t>
  </si>
  <si>
    <t>009- Научноизследователски и иновационни дейности в публични научноизследователски центрове, висши учебни заведения и специализирани експертни центрове, вкл. изграждане на мрежи (индустриални научни изследвания, експериментално развитие, проучвания за осъществяване на осъществимост);</t>
  </si>
  <si>
    <t xml:space="preserve">RCO 06 Изследователи, работещи в подкрепяни обекти за научни изследвания - </t>
  </si>
  <si>
    <t>RCR 08 — Публично-частни съвместни публикации</t>
  </si>
  <si>
    <t>3. Интернационализация за проекти по стълб II на Хоризонт Европа, получили печат за високи постижения, чрез:</t>
  </si>
  <si>
    <t>RCO 07 Научноизследователски институции участващи в съвместни проекти за научни изследвания;</t>
  </si>
  <si>
    <t>Изграждане на мрежи и съвместна научно-изследователска дейност с водещи европейски научни организации и университети</t>
  </si>
  <si>
    <t>Създаване на стратегически партньорства с изследователски и иновациони центрове и европейски инфраструктури и специализиация на учени от подкрепените центрове във водещи европейски научни и иновационни центрове</t>
  </si>
  <si>
    <t>Обмяна на опит и привличане на  водещи световни водещи учени и специалисти за изнасяне на лекции, практически курсове и съвместно разработване на нови методи, техники и др., свързани с използването на инфраструктурата</t>
  </si>
  <si>
    <t>4. Разпространение и трансфер на научни резултати за проекти по стълб II на Хоризонт Европа, получили печат за високи постижения, в т.ч.</t>
  </si>
  <si>
    <t>021- Трансфер на технологии и сътрудничество между предприятията, изследователските центрове и висшето образование;</t>
  </si>
  <si>
    <t>RCO 10 Предприятия, които си сътрудничат с научноизследователски институции</t>
  </si>
  <si>
    <t>RCR 06 — Заявка за патент, подадена пред Европейското патентно ведомство</t>
  </si>
  <si>
    <t>• публикуване на научните резултати с осигурен отворен достъп</t>
  </si>
  <si>
    <t>• дейности по защита и прехвърляне на права по интелектуална собственост (подготовка на заявки за патенти и полезни модели и тяхната поддръжка; марки и други форми на  интелектуалната собственост; Оценка на пазарния потенциал на научните разработки;</t>
  </si>
  <si>
    <t xml:space="preserve">• участие в научни форуми, </t>
  </si>
  <si>
    <t>• организиране на международни научни форуми;</t>
  </si>
  <si>
    <t>Общо 009+021</t>
  </si>
  <si>
    <t>Индикативен брой инфр. Проекти sharing excellence</t>
  </si>
  <si>
    <t>Идикат брой проекти стълб 2</t>
  </si>
  <si>
    <t>По-слабо развити региони</t>
  </si>
  <si>
    <t>ДП</t>
  </si>
  <si>
    <t>Преход</t>
  </si>
  <si>
    <t>Принос на ЕС без стойност за гъвкавост</t>
  </si>
  <si>
    <t>Ориентировъчно разпределение на‭ ‬приноса на ЕС</t>
  </si>
  <si>
    <t>Стойност за гъвкавост</t>
  </si>
  <si>
    <t>За програмите по цел „Инвестиции за работни места и растеж“ обаче за всяка програма във всяка държава членка се запазва сума, съответстваща на 50 % от участието за 2026 г. и 2027 г. („сума за гъвкавост“),само след приемането на решението на Комисията след междинния преглед по член 18.</t>
  </si>
  <si>
    <t>%</t>
  </si>
  <si>
    <t>стойност за гъвкавост</t>
  </si>
  <si>
    <t>2. Укрепване на капацитета на органите, бенефициентите и партньорите</t>
  </si>
  <si>
    <t>(О1-1) Аналитични доклади и стратегически документи</t>
  </si>
  <si>
    <t>Цел (2029)</t>
  </si>
  <si>
    <t>брой</t>
  </si>
  <si>
    <t>Мерна единица</t>
  </si>
  <si>
    <t>Етапна цел (2024)</t>
  </si>
  <si>
    <t xml:space="preserve">(О1-2) </t>
  </si>
  <si>
    <t>Аналитични доклади и стратегически документи</t>
  </si>
  <si>
    <t xml:space="preserve">(О1-2) Хоризонтални и междусекторни оценки </t>
  </si>
  <si>
    <t>(О1-3)</t>
  </si>
  <si>
    <t>(О1-4)</t>
  </si>
  <si>
    <t>Общини</t>
  </si>
  <si>
    <t>ИПА</t>
  </si>
  <si>
    <t xml:space="preserve">2. Укрепване на капацитета на органите, бенефициентите и партньорите
</t>
  </si>
  <si>
    <t>Намалена административна тежест за бенефициентите</t>
  </si>
  <si>
    <t xml:space="preserve">Специфична цел </t>
  </si>
  <si>
    <t>Показатели за краен  продукт</t>
  </si>
  <si>
    <t xml:space="preserve">Определение </t>
  </si>
  <si>
    <t>Методология (метод на изчисляване)</t>
  </si>
  <si>
    <t>Индикативен списък с действия</t>
  </si>
  <si>
    <t>Очаквани постижения/резултати</t>
  </si>
  <si>
    <t>Стойности на кодове за интервенция (финансиране от ЕС) (EUR)</t>
  </si>
  <si>
    <t>Общо (европейско + национално съфинансиране) (BGN)</t>
  </si>
  <si>
    <t>% ЕФРР</t>
  </si>
  <si>
    <t>1. Оптимизиране на средата за изпълнение на СП</t>
  </si>
  <si>
    <t>% от общата стойност на възнагражденията на служителите на ЦКЗ</t>
  </si>
  <si>
    <t>% от общата стойност на възнагражденията на служителите на ОО</t>
  </si>
  <si>
    <t>% от общата стойност на възнагражденията на служителите на СчО</t>
  </si>
  <si>
    <t>% от общата стойност на възнагражденията на служителите на АФКОС</t>
  </si>
  <si>
    <t>% от общата стойност на възнагражденията на служителите на АОП</t>
  </si>
  <si>
    <t xml:space="preserve">(О1-3) Методически указания и проекти на нормативни актове </t>
  </si>
  <si>
    <t>% от общата стойност на възнагражденията на служителите на УО на ПТП</t>
  </si>
  <si>
    <t>Единна информационна система за държавни помощи</t>
  </si>
  <si>
    <t>3. Ангажиране на СИП и ОГО за добро управление на фондовете</t>
  </si>
  <si>
    <t xml:space="preserve">Хоризонтални и междусекторни оценки </t>
  </si>
  <si>
    <t xml:space="preserve">Методически указания и проекти на нормативни актове </t>
  </si>
  <si>
    <t xml:space="preserve">Модули за обучения по хоризонтални теми </t>
  </si>
  <si>
    <t xml:space="preserve">ОГО и СИП, ангажирани с мониторинг и оценка на СП </t>
  </si>
  <si>
    <t>ОГО и СИП, ангажирани с популяризиране на  резултатите от СП</t>
  </si>
  <si>
    <t>4. Прозрачност, ефективна комуникация и популяризиране на подкрепата от фондовете и постигнатите резултати</t>
  </si>
  <si>
    <t>(О1-5)</t>
  </si>
  <si>
    <t xml:space="preserve">(О1-7) </t>
  </si>
  <si>
    <t xml:space="preserve">(O1-9) </t>
  </si>
  <si>
    <t>(О2-1)</t>
  </si>
  <si>
    <t>(О2-2)</t>
  </si>
  <si>
    <t>(О2-3)</t>
  </si>
  <si>
    <t>(О2-4)</t>
  </si>
  <si>
    <t>(О3-1)</t>
  </si>
  <si>
    <t xml:space="preserve">(О4-3)  </t>
  </si>
  <si>
    <t>Брой извършени проверки и одити в Системата, завършени с окончателен доклад, изготвен от одитен и/или контролен орган в рамките на правомощията им.</t>
  </si>
  <si>
    <t xml:space="preserve">1. Проверки и/или одити, извършени от Одитиращ орган, Счетоводен орган, АФКОС, АОП.
</t>
  </si>
  <si>
    <t>(О3-2) ОГО и СИП, ангажирани с популяризиране на  резултатите от СП</t>
  </si>
  <si>
    <t>(О4-3) Импресии в социалните мрежи и платформи</t>
  </si>
  <si>
    <t xml:space="preserve">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t>
  </si>
  <si>
    <t>Подобрена електронна среда за подготовка, изпълнение, мониторинг, контрол, управление на програми от СП;
Подобрена електронна среда за събиране, обработка и анализ на данни за оценки, необходими за целите на оценките на  програми от СП;
Бързо адаптиране на ИСУН към нуждите на потребителите на системата;
Намалена административна тежест за УО-и, кандидати и бенефициенти.</t>
  </si>
  <si>
    <t xml:space="preserve">Подобрена електронна среда за кандидатстване и оценка на проектни предложения по програми от СП;
Бързо адаптиране на ИСУН към нуждите на потребителите на системата;
Намалена административна тежест за УО-и и кандидатите.
</t>
  </si>
  <si>
    <t>Поддържане на високи нива на компетентност,‭ ‬мотивация и ангажираност на служителите,‭ ‬които да гарантират ефективното изпълнение на задълженията по политиката на сближаване (‬включително методически функции по отношение на плавния преход между програмните периоди:‭ 2014-2020, 2021-2027 и финансовата перспектива след 2027 г.).</t>
  </si>
  <si>
    <t>Осигурен компетентен, силно мотивиран, ангажиран и опитен персонал и експертиза за Системата;
Ниско текучество на персонала.</t>
  </si>
  <si>
    <t xml:space="preserve">Индикаторът измерва степента на придобитите знания само от обученията по хоризонтали теми, отчетени в индикатор О2-1.
Под успешно преминаване на тест за усвоени знания се разбира постигане на поне 75% верни отговори на финалния тест.
</t>
  </si>
  <si>
    <t>1. обучения по хоризонтални теми, за които е отчетено разработване на обучителен модул в индикатор О2-1. 
- Разработване на тест за % на усвоените знания;
- Обобщаване на резултатите от проведените тестове;  
- Текущо изпращане на обратна връзка до институцията, разработила съответния обучителен модул.</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</si>
  <si>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 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Повишено качеството на обучението;
Повишена мотивацията на участниците в събитията. 
                                                                                                        </t>
  </si>
  <si>
    <t xml:space="preserve">Повишено обществено доверие в Системата; 
Алтернативна гледна точка към изпълнението на програмите от СП;
Подобрен и ускорен процес по оценки на програми от СП;
Подобрено изпълнение на политики, съ-финансирани от фондовете на РОР чрез по-ефективен и навременен мониторинг. </t>
  </si>
  <si>
    <t xml:space="preserve">Брой ОГО и СИП (бенефициент или партньор), подкрепени за провеждане на информационни събития с цел популяризиране на резултатите от програмите от СП.
Отчитат се ОГО и СИП, провели събития в присъствена или дистанционна форма.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</si>
  <si>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По-висока степен прозрачност и отчетност при изпълнението на СП.</t>
  </si>
  <si>
    <t xml:space="preserve">Брой импресии, отчетени от статистиката в съответните профили на управлявани от бенефициентите на ПТП (ЦКЗ, ОИЦ и др.) социални платформи. </t>
  </si>
  <si>
    <t>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По-силно чувство за собственост върху резултатите от страна на гражданите;
По-висока степен прозрачност и отчетност при изпълнението на СП.</t>
  </si>
  <si>
    <t>Самооценката на анкетираните български граждани на възраст над 15 години се отчита чрез национално представително социологическо проучване, проведено през 2024 и 2029 г.
Изследването се провежда най-малко два пъти по време на програмния период, следвайки единна методология, която позволява сравнимост на данните.
Въз основа на исторически данни от програмния период 2014-2020 г. е направено предположение за поддържане на нивото на информираност, което е високо в сравнение с останалите държави-членки на ЕС.</t>
  </si>
  <si>
    <t xml:space="preserve">1. Организиране на информационни събития, подготовка и разпространение на информационни материали, поддържане на Единния информационен портал www.eufunds.bg и Информационната система за управление и наблюдение (ИСУН), профили в социалните мрежи и всички действия за повишаване на осведомеността за фондовете на РОР сред широката общественост.
</t>
  </si>
  <si>
    <t xml:space="preserve">1. Създаване, разработване, популяризиране и поддържане на профили в социалните мрежи, за да се гарантира наличността на информацията относно европейските фондове.
</t>
  </si>
  <si>
    <t>(О1-4) Проверки и одити, извършвани от одитиращи и/или контролни органи</t>
  </si>
  <si>
    <t>(О1-6) Единна информационна система за държавни помощи</t>
  </si>
  <si>
    <t>(О1-7) Нови функционалности на ИСУН</t>
  </si>
  <si>
    <t>(О1-8) Намалена административна тежест за кандидатите</t>
  </si>
  <si>
    <t>(О1-9) Намалена административна тежест за бенефициентите</t>
  </si>
  <si>
    <t xml:space="preserve">(О1-6) </t>
  </si>
  <si>
    <t xml:space="preserve">(O1-8) </t>
  </si>
  <si>
    <t xml:space="preserve">(О1-10) </t>
  </si>
  <si>
    <t>(О4-2‭) ‬Уникални посещения на eufunds.bg</t>
  </si>
  <si>
    <t>Брой уникални посещения на eufunds.bg на годишна база, без натрупване.</t>
  </si>
  <si>
    <t>Бенефициентът, поддържащ информационния портал, предоставя на УО на шестмесечна база, към 30 юни и 31 декември, информация за броя уникални посещения на eufunds.bg през съответната година без да се натрупват стойностите от предходните години.
Целевата стойност се отнася за броя уникални посещения на eufunds.bg през 2029 г., който ще се отчете към 31 декември 2029.
Въз основа на исторически данни от програмния период 2014-2020 г. е направено предположение за поддържане на интереса към Информационния портал и поддържане на броя на уникалните посещения на годишна база за периода 2022-2029 г., тъй като има повишен интерес в началото на програмния период, който намалява в средата на периода.</t>
  </si>
  <si>
    <t xml:space="preserve">Създадена култура за оценки в Системата;
Оптимизиран процес по събиране, обобщаване и анализ на данни, необходими за оценки на политиките от СП;
Разпространени аналитични и оценителни доклади за Системата;
Оптимизирани административни процеси/ процедури в Системата в резултат на отправени препоръки от извършени оценки;
</t>
  </si>
  <si>
    <t xml:space="preserve">Подобрени процеси по управление и контрол на средствата от фондовете на РОР;
Намалена административна тежест за УО-и, кандидати и бенефициенти;
По-добро използване на възможностите, предлагани от различните режими на помощ.
</t>
  </si>
  <si>
    <t xml:space="preserve">(О4-4) Ниво на информираност за програмите от СП
</t>
  </si>
  <si>
    <t>(О2-4) ОГО с повишен капацитет</t>
  </si>
  <si>
    <t>(О2-5) Общини с повишен капацитет</t>
  </si>
  <si>
    <t xml:space="preserve">Брой организации на гражданското общество (ОГО) - бенефициенти по ПТП и/или целева група по проекти по ПТП, подкрепени за повишаване на капацитета за подготовка, изпълнение, популяризиране и оценка на програмите от СП и работа в партньорство; 
</t>
  </si>
  <si>
    <t xml:space="preserve">1. Повишаване капацитета на ОГО за укрепване на принципа на партньорство и за активното им участие в разработването, изпълнението и мониторинг на програмите от СП (напр. чрез организиране на специални работни срещи, обучителни сесии, координационни и мрежови структури, участие в срещи за подготовка, изпълнение, наблюдение и оценка на програми; улесняване на обмена на опит и взаимното обучение);
</t>
  </si>
  <si>
    <t xml:space="preserve">Брой общини - бенефициенти по ПТП и/или целева група по проекти по ПТП, подкрепени за повишаване на общински капацитет за стратегическо планиране и активно участие в инициативи на ЕС.
</t>
  </si>
  <si>
    <t xml:space="preserve">Повишен капацитет на  общини за активното им ангажиране при изпълнението на СП;
Намален брой нередности;
Качествени и полезни за местните общности ИТИ; 
Повишен общински капацитет за стратегическо планиране и активно участие в инициативи на ЕС; 
Осигурена квалифицирана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</si>
  <si>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АКТУАЛИЗИРАНА Е СЪГЛАСНО ПОСЛЕДНОТО ПИСМО ОТ ЦКЗ!!!</t>
  </si>
  <si>
    <t>Подобрена електронна среда за мониторинг и верификация на проекти по програми от СП;
Бързо адаптиране на ИСУН към нуждите на потребителите на системата;
Намалена административна тежест за УО-и и бенефициентите.</t>
  </si>
  <si>
    <t xml:space="preserve">Повишен капацитет на ОГО за активното им ангажиране при изпълнението на СП;
Намален брой нередности;
Повишен капацитет на ОГО за подготовка, изпълнение, популяризиране и оценка на програмите от СП и работа в партньорство, със специален акцент за откриване на нередности и докладване; и събиране и интерпретация на данни, използване на ИКТ решения в работните процеси; мониторинг на политики; работа в мрежи. 
</t>
  </si>
  <si>
    <t>(О2-5)</t>
  </si>
  <si>
    <t>ОГО  с повишен капацитет</t>
  </si>
  <si>
    <t>Общини с повишен капацитет</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</si>
  <si>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</si>
  <si>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1. Развитие на Академията за фондовете на ЕС, която да осигури възможност за повишаване на квалификацията и уменията на служителите в рамките на Системата, както и на ключовите групи бенефициенти по програмите (вкл. общини) по хоризонтални/междусекторни теми/области чрез:
- Разработване на обучителни модули, въз основа на оценка на базовите компетенции на целевите групи, и осигуряване на лектори от съответните администрации, отговорни за ключови хоризонтални области като режими на помощ, обществени поръчки, намаляване на броя и тежестта на нередностите, включително измами и корупция, одит, централна координация на средствата от фондовете, НРПД и др.  
- Провеждане на хоризонтални обучения и последваща оценка в специализирана електронна среда на нивото на компетенции.
- Регулярен анализ на резултатите от оценяването и актуализиране на обучителното съдържание и използвани методи, съобразно обратната връзка от участниците. 
2. Провеждане на специализирани обучения за външни оценители на проекти със специален фокус върху прилагането на правилата за фондовете на РОР и ефективно използване на ИСУН;
3. Участие в специализирани събития на национални и европейски центрове за обучение на служителите от хоризонталните звена на Системата;
4. Участие в работни групи, семинари, конференции за трансфер на добри практики, организирани от европейски и национални институции.
  </t>
  </si>
  <si>
    <t xml:space="preserve">Информираността на широката общественост за програмите от СП се измерва чрез самооценка на респондентите относно познаването на проекти/дейности/резултати, съ-финансирани по програмите от СП. </t>
  </si>
  <si>
    <t>(О3-3) Пактове за почтеност</t>
  </si>
  <si>
    <t>(О3-2)</t>
  </si>
  <si>
    <t>(О3-3)</t>
  </si>
  <si>
    <t xml:space="preserve">(О4-1) </t>
  </si>
  <si>
    <t xml:space="preserve">(О4-2)  </t>
  </si>
  <si>
    <t xml:space="preserve">(O4-4) </t>
  </si>
  <si>
    <t>Обществени консултации, медиации и презентации</t>
  </si>
  <si>
    <t>Пактове за почтеност</t>
  </si>
  <si>
    <t xml:space="preserve">Делът се измерва като броят на служителите, постигали поне 75% верни отговори на финалния тест от обучение се разделя на броя на всички служители, преминали обучение по хоризонтална тема. 
Един служител е възможно да е завършил успешно повече от едно обучение. 
Показателят се отчита от бенефициентите два пъти годишно с натрупване от началото на проекта чрез предоставяне на УО на информация % на успешно преминали обучение. 
В допълнение бенефициентът следва да предоставя на УО и информация за общия брой на участниците в обучение, постигали поне 75% верни отговори на финалния тест. 
УО изчислява кумулативно показателя към 30 юни и 31 декември на база генерирана информация от всички бенефициенти към съответния отчетен период. 
</t>
  </si>
  <si>
    <t xml:space="preserve">Отчита се броят на подкрепените ОГО.
Всеки бенефициент текущо предоставя на УО информация за броя на подкрепени ОГО.
УО изчислява кумулативно показателя към 30 юни и 31 декември.
</t>
  </si>
  <si>
    <t xml:space="preserve">Отчита се броят на подкрепените общини, вкл.  чрез осигуряване на квалифицирана експертна подкрепа за общините.
Всеки бенефициент текущо предоставя на УО информация за броя на подкрепени  общини. 
УО изчислява кумулативно показателя към 30 юни и 31 декември.
</t>
  </si>
  <si>
    <t>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t>
  </si>
  <si>
    <t xml:space="preserve">Отчита се броят на подкрепените организации ОГО и СИП, като бенефициент или партньор в проект по ПТП.
УО изчислява кумулативно показателя към 30 юни и 31 декември.
</t>
  </si>
  <si>
    <t>Всеки бенефициент предоставя обобщена информация за броя на импресиите, постигнати в профилите в социалните медии, управлявани от него през отчетния период.
УО изчислява кумулативно показателя към 30 юни и 31 декември.</t>
  </si>
  <si>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По-добро изпълнение на СП и по-силно чувство за собственост върху резултатите от страна на гражданите.
</t>
  </si>
  <si>
    <t>Служители на Системата, чиито възнаграждения се възстановяват (среднопретеглена стойност)</t>
  </si>
  <si>
    <t>1. Развитие на www.eufunds.bg чрез разработване и добавяне на:
- огледална версия за програмен период 2021+; 
- заявка за ел. бюлетин чрез бутон „RRS съобщения“; 
- адаптиране за хора със зрителни увреждания; 
- текуща актуализация за двата периода с фокус върху подхода ИТИ; 
- разпространение на информация и добри практики относно стратегиите за постигане на устойчивост към изменението на климата, особено на регионално равнище и др.</t>
  </si>
  <si>
    <t xml:space="preserve">Бенефициентът, отговорен за разработването и подкрепата на ИСУН, предоставя текущо информация за разработени и внедрени функционалности.
УО изчислява кумулативно показателя към 30 юни и 31 декември.
</t>
  </si>
  <si>
    <t xml:space="preserve">Осигурен компетентен, силно мотивиран, ангажиран и опитен персонал и експертиза за Системата;
Повишено качество на управление и изпълнение на проекти по програмите от СП чрез укрепване на капацитета на  ключови бенефициенти;
Мултиплицирани резултати от проведени анализи и проучвания, извършени от бенефициенти по програмата;
Подобрени, синхронизирани и унифицирани административни процеси/процедури в Системата; 
Намален брой на основните констатации от системни одити и грешки с финансово въздействие по програмите от СП;
Повишено ниво на превенция и откриване на нередности, измами и корупция в проекти, финансирани от фондове по РОР.
                                                                                                        </t>
  </si>
  <si>
    <t xml:space="preserve">1. Идентифициране на стратегически проекти от програмите от СП (съвместно между УО на ПТП, ЦКЗ и УО на програмите от СП);
2. Избор на НПО (бенефициент) за изпълнение на пактовете;
3. Осъществяване на мониторинг от страна на НПО на всички етапи от изпълнението на стратегическите проекти (изпълнение на проектните дейности, избор на изпълнители, изпълнение на сключени договори с външни изпълнители, изпълнение на индикатори); 
4. Комуникиране на резултатите от всеки етап от пакта със заинтересованите страни. </t>
  </si>
  <si>
    <t xml:space="preserve">Брой ОГО и СИП (бенефициент или партньор) подкрепени за:
- събиране, обобщаване и анализ на данни, необходими за целите на оценките на програми от СП (в т.ч. хоризонтални и междусекторни оценки);
- провеждане на мониторинг на политики и програми от СП.
</t>
  </si>
  <si>
    <t xml:space="preserve">Брой извършени пактове за почтеност на стратегически проекти по програмите от СП. 
Под извършен пакт за почтеност се разбира цялостен мониторинг на изпълнението на стратегическия проект от сключването на договор за БФП със съответния УО до одобрение на окончателния технически доклад. В случай, че по съответния стратегически проект се планират повече от една обществена поръчка, то пактът за почтеност трябва да покрие поръчката с най-висока прогнозна стойност или най-голяма сложност или с най-висок обществен интерес, която спомага за постигане на основната цел на проекта. </t>
  </si>
  <si>
    <t xml:space="preserve">Вид интервенции и индикативно разпределение на ресурсите по ПТП по вид интервенция или област на подкрепа </t>
  </si>
  <si>
    <t xml:space="preserve">Брой изготвени/актуализирани методически указания, разпространени в Системата и брой на влезлите в сила нови/ актуализирани национални нормативни актове за управлението и контрола на ЕСИФ/фондовете на РОР. </t>
  </si>
  <si>
    <t xml:space="preserve">Методически насоки и национални разпоредби за управление и контрол на средствата по ЕСИФ/фондовете на РОР; 
Оптимизирани административни процеси/ процедури във всички структури на Системата; 
Намален брой основни констатации от системни одити и грешки с финансово въздействие;
Намалена административна тежест за кандидати и бенефициенти;
Намален брой на грешките на кандидати и бенефициенти;
Повишено ниво на превенция и откриване на нередности, измами и корупция в проекти, финансирани от фондове на РОР;
Използване на добри практики, по-широко използване на опростени разходи, зелени и устойчиви обществени поръчки и др. </t>
  </si>
  <si>
    <t xml:space="preserve">Показателят се отчита от националното звено за държавни помощи след:
1. изграждане и внедряване на Единната информационна система за държавни помощ 
2. изграждане и внедряване на Центъра за държавни помощи относно средствата от фондовете на РОР.
3. електронизиране на процесите;
4. осигуряване единен достъп до данни от всички налични регистри за държавни и минимални помощи;
5. осигуряване на автоматизиран обмен с други информационни регистри и системи.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</si>
  <si>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 брой необходими документи за кандидатстване по обявените процедури по всички програми през съответното календарно шестмесечие на 16.1, което е средният брой необходими документи през програмния период 2014-2020 г. и получената стойност се умножи по 100%. 
Х = (1,00- среден брой на изискуеми документи за отчетен период/16,1)*100 %.
Индикаторът се изчислява средноаритметично за всички отчетни периоди в периода 2023-2029.
</t>
  </si>
  <si>
    <t xml:space="preserve">1. Подобряване на процесите по подготовка, изпълнение, мониторинг, контрол, управление на програми от СП; 
2. Интеграция с други системи и регистри, в това число хоризонталните системи на електронното управление и с НГП и др.
</t>
  </si>
  <si>
    <t xml:space="preserve">Показателят се отчита на шестмесечие, към 30 юни и 31 декември на съответната година. 
Стойността на показателя за съответното шестмесечие се изчислява като от 1,00 се изважда отношението на средният брой изискуеми декларации за отчет по проекти по програми през отчетния период на 6,56, което е средният брой декларации на отчет през програмен период 2014-2020 г. и се умножи по 100.
Х = (1,00- среден брой на изискуеми декларации за отчетен период/6,65)*100 %.
Индикаторът се изчислява средноаритметично за всички отчетни периоди в периода 2023-2029.
</t>
  </si>
  <si>
    <t>Всеки бенефициента предоставя текущо на УО информация за проведените събития през отчетния период заедно с доказателства относно тяхното провеждане. 
Отчитат се присъствени, дистанционни събития, форуми, както и всяка документирана инициатива за обществени консултации, медиации и информиране на заинтересовани страни.    
УО изчислява кумулативно показателя към 30 юни и 31 декември.</t>
  </si>
  <si>
    <t xml:space="preserve">Брой разработени/актуализирани аналитични доклади и стратегически документи.
Всеки доклад и документ трябва да бъде консултиран с и разпространен до всички заинтересовани страни (структури в Системата, партньорски организации и др.).
</t>
  </si>
  <si>
    <t>Индикаторът измерва процентното намаление на административната тежест за бенефициентите, като отчита средния брой изискуеми декларации за един отчет (2021-2027) спрямо средния брой необходими декларации за програмен период 2014-2020. Основната стойност на показателя е 100%, което се равнява средно на 6,56 декларации на отчет, изчислено въз основа на данните в ИСУН за програмите, финансирани от ЕСФ, ЕФРР, КФ, ЕФМДР и ФЕПНЛ за периода 2014-2020.</t>
  </si>
  <si>
    <t xml:space="preserve">Съответният бенефициент (НПО) отчита текущо приключили пактове за почтеност. 
Изпълнението на пакт се отчита с представяне на:
1. Годишни доклади за текущото изпълнение на стратегическия проект. Бенефициентът трябва да комуникира докладите със съответния УО и бенефициент. Представя се доклад за всяка календарна година от изпълнението на проекта. 
2. Обобщен доклад за проведена обществена поръчка (ОП) за избор на изпълнител, който включва становище за документация на ОП, за работа на оценителна комисия, за изпълнение на сключения договор. Докладите трябва да бъдат комуникирани със съответния УО и бенефициент. 
3. Доказателства за текущо представяне на резултатите от пакта пред заинтересованите страни.  
УО изчислява кумулативно показателя към 30 юни и 31 декември.
</t>
  </si>
  <si>
    <t xml:space="preserve">Всеки бенефициент текущо предоставя на УО информация за броя на контролите или одитите, завършени с окончателен доклад.
УО изчислява кумулативно показателя към 30 юни и 31 декември.
</t>
  </si>
  <si>
    <t>1. Надграждане и внедряване на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 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 фондовете на РОР). 
2. Електронизиране на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3. Осигуряване на единен достъп до данни от всички налични регистри за държавни и минимални помощи и автоматизиран обмен с други информационни регистри и системи.
4. Профилиране на потенциалните потребители на Центъра за държавни помощи относно средствата от фондовете на РОР;
5. Публикуване на тематични насоки за специфични аспекти на режимите на помощ, приложими за проекти, финансирани от фондовете на РОР, като допустими разходи, натрупване и източници на информация за проверки;
6. Осигуряване на заинтересованите страни с бърза, актуална и тематична информация, включително:
 - Бюлетин за изменения на българското и европейско законодателство в областта на режимите на помощ;
  - Отговори на ЕК на въпроси, зададени чрез системата eState Aid WIKI;
  - Съдебни решения;
7. Споделяне на опит - национални практики и практики на ЕС, ноу-хау, извлечени уроци, методи за избягване на грешки, препоръки за подходящи последващи мерки от УО-и;
8. Разработване на учебно съдържание въз основа на текущите предизвикателства за УО-и;
9. Насърчаване на обратната връзка между структурите за управление и контрол на фондовете по РОР и националното звено за държавни помощи за идентифициране на теми за предстоящ дебат/изясняване.</t>
  </si>
  <si>
    <t xml:space="preserve">Повишен процент на отстранени грешки, в следствие на подобрен предварителен контрол;
Повишаване на качеството на проверките, извършвани от АОП; 
Подобрени процеси по управление и контрол на средствата от фондовете на РОР;
Намален брой на констатациите с финансов изражение;
Намален брой грешки, отчетени по програмите от СП.
</t>
  </si>
  <si>
    <t xml:space="preserve">1. Синхронизиране на извършваните от АОП контроли и процедури с тези извършвани от УО и ОО;
2. Подготовка на обучителен модул от ОО за обучение на служителите на АОП по сихронизираните правила;
3. Провеждане на обучение на всички служители на АОП, отговрни за извършването на предварителен контрол по процедури, финансирани от фондовете на РОР;
4. Надграждане на функционалността на ЦАИС ЕОП за филтриране на процедурите за ОП, финансирани от фондовете на РОР;
5. Въвеждане на отделна методологията на АОП само за процедури, финансирани от фондовете на РОР, чрез която се селектират процедури подлежащи на предварителен контрол.
</t>
  </si>
  <si>
    <t>Дял на процедурите, преминали предварителен контрол от АОП, по които има наложена финансова корекция за нарушения в подготвителната фаза</t>
  </si>
  <si>
    <t>(О1-5) Дял на процедурите, преминали предварителен контрол от АОП, по които няма наложена финансова корекция за нарушения в подготвителната фаза</t>
  </si>
  <si>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91,79 % и е определена въз основа на налични в ИСУН данни за периода от 01.04.2020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</si>
  <si>
    <t xml:space="preserve">Индикаторът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без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</si>
  <si>
    <t>АФКОС</t>
  </si>
  <si>
    <t>АОП</t>
  </si>
  <si>
    <t>Всеки бенефициент текущо предоставя на УО информация за броя на изготвените/актуализирани аналитични доклади (вкл. доклади за изпълнение, годишни доклади за състоянието на Системата) и стратегически документи през отчетния период.
Отчитат се доклади и документи, изготвени както от външни изпълнители, така и от служители на съответния бенефициент.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</si>
  <si>
    <t>1. Набиране,‭ ‬обобщаване и/или анализ на информация от работата на Системата (ЦКЗ):
- териториално разпределение на средства от ЕСИФ;
- входящи данни за хоризонтални оценки;
- подходящи области за стандартизиране и опростяване; 
- резултати от проучвания за нужда от обучение и обратна връзка от участници в обучения;
- подходящи комуникационни мерки за повишаване на доверието в системата. 
2. Провеждане консултации, анализи, проучвания  и др. за осигуряване на координирано и допълващо планиране, изпълнение на междусекторни и междупрограмни инициативи и инструменти за насърчаване на по-висока добавена стойност на инвестициите от ЕС (ЦКЗ);
3.  Оптимизиране на вторичната законодателна рамка за управление на средствата от фондовете на ЕС, като бъдат взети предвид и резултатите от проучването, проведено в рамките на аналитичния етап на разработване на националната пътната карта за изграждане на АК (ЦКЗ);
4. Изготвяне на годишен анализ на основните констатации от одити на системата и годишен анализ на грешки с финансово въздействие от одита на операциите. (ОСЕС)
5. Изготвяне на годишен анализ на основните констатации от проверки за открити нередности, включително измами, и последващи действия (АФКОС);
6. Изготвяне на годишен анализ на основните грешки, свързани с правилата за държавни помощи (ДП);
7. Подготовка на стратегии и пътни карти за Системата.  (ЦКЗ).</t>
  </si>
  <si>
    <r>
      <t>Разработени и разпространени аналитични доклади и стратегически документи на Системата;
Оптимизирани административни процеси/ процедури в Системата; 
Повишено ниво на превенция и борба с нередностите и измамите;
Актуализирана национална пътна карта на административен капацитет.</t>
    </r>
    <r>
      <rPr>
        <b/>
        <sz val="9"/>
        <color theme="1"/>
        <rFont val="Times New Roman"/>
        <family val="1"/>
        <charset val="204"/>
      </rPr>
      <t xml:space="preserve">
</t>
    </r>
  </si>
  <si>
    <t xml:space="preserve">Брой хоризонтални и междусекторни оценки, извършени и проследени в съответствие с Плана за оценка на ПТП/СП. В следствие на всяка извършена оценка е утвърден план за действие, който трябва да бъде проследяван най-малко една година след издаване на окончателен доклад. 
Всеки доклад от оценка и документ за събрани данни на хоризонтално ниво е консултиран с и разпространен сред всички заинтересовани страни (структури в Системата, партньорски организации и др.).
</t>
  </si>
  <si>
    <t>Бенефициентите текущо предоставят на УО информация за броя на хоризонталните и/ или междусекторни оценки през отчетния период;
Отчитат се оценки, извършени както от външни изпълнители, така и от независими структури в Системата;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 1-1, O 1-2, O 1-3, and O 2-1 са с едни и същи теми.</t>
  </si>
  <si>
    <t xml:space="preserve">1. Разработване на национален план за оценка, включващ всички планирани хоризонтални и програмни оценки;
2. Развитие на капацитета на ЦКЗ за извършване на хоризонтални оценки и създаване на бюро за помощ/ група от експерти към ЦКЗ за преглед на оценките на програмите с цел подобряване на тяхното качество;
3. Разработване на стандарти за оценка и насърчаване на прилагането им при оценка на програмите;
4. Засилване на дейността на междуведомствената работна група за оценка като допълващ инструмент за мониторинг, платформа за обмяна на опит и механизъм за подобряване на качеството на оценките.
5. Развитие на капацитета за извършване на оценки в рамките на Системата и извън нея, вкл. чрез подкрепата на Helpdesk за оценка на ЕК, насърчаване изграждането на общност на професионалистите в областта на оценката (evaluation society), сътрудничество с академичната и изследователската общности, организиране на конференции в областта на оценката и др.;
6. Насърчаване на активно сътрудничество в рамките на Мрежата за оценка към ГД „Регионална и селищна политика“ и Партньорството за оценка към ГД „Трудова заетост, социални въпроси и приобщаване“ на ЕК с цел трансфер на добри практики;
7. Набиране,‭ ‬обобщаване и/или анализ на данни на хоризонтално ниво за изпълнение на политиките, финансирани от фондовете на РОР;
8. Повишаване на обема на отворените данни за изпълнението на програмите по СП;  
9. Насърчаване на споделено събиране и използване на данни за околна среда (зелена сделка и Националната рамка за приоритетни действия по Натура 2000 ), интелигентни общности, мобилност, производство, селско стопанство, културно наследство, здравеопазване, медии, финанси, умения, език, обществени поръчки, сигурност и правоприлагане;
10. Предоставяне на обобщени данни за целите на оценки на заинтересованите УО-и;
11. Провеждане на изследвания, консултации, анализи, проучвания, оценки на въздействието и др. за осигуряване на координирано и допълващо планиране, изпълнение и оценка на междусекторни и междупрограмни инициативи и инструменти за насърчаване на по-висока добавена стойност на инвестициите от ЕС;
12. Разработване на информационно и/или обучително съдържание на база изводите и препоръките от извършените оценки.
13. Изпълнение и проследяване на препоръки от  оценителните доклади за оптимизиране на административни процеси/процедури в Системата.
</t>
  </si>
  <si>
    <t>Всеки бенефициент текущо предоставя на УО информация за броя на разработените/ актуализирани методически насоки, разпространени сред звената в системата и броя на новите/ актуализирани нормативни актове.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</si>
  <si>
    <t xml:space="preserve">1. Разработване на методически насоки за рационализиране на правилата и процедурите за подобрена ефективност при управлението на средствата по ЕСИФ/фондовете на РОР:
- Систематичен анализ и популяризиране на добрите практики, споделяни в транснационалните мрежи по опростени варианти на разходите по ЕФРР/КФ и ЕСФ   — заедно с подгрупата на тези мрежи, съсредоточени върху подходи, основани на резултатите; 
- Насърчаване на използването на възможностите по член 37 и член 95 от Регламент (ЕС) 2021/1060 (финансиране, което не е свързано с разходи) на база опита от изпълнението на Националния план за възстановяване и устойчивост като подход, основан на резултатите. 
- Насърчаване на зелени и устойчиви обществени поръчки;
- Насоки за използване на алтернативни методи за разкриване на измами и др.;
- Насоки и наръчници за избягване на често срещани грешки, открити по време на одитите на операциите и др.
2. Изготвяне на наръчници, документи и експертни становища, свързани с прилагането на държавна помощ, обществени поръчки, откриване (използване на подходящи червени флагове), докладване и осигуряване на последващи действия във връзка с нередности и измами, засягащи финансовите интереси на ЕС, одит и контрол. Превод и адаптация на международни насоки и тълкуване на съдебната практика.
3. Разработване на нови/ актуализирани национални разпоредби за средствата по ЕСИФ/ фондовете на РОР; 
4. Разработване на информационно и/или обучително съдържание. </t>
  </si>
  <si>
    <t xml:space="preserve">Надградена, внедрена, функционираща и достъпна за администраторите на помощ информационна система за наблюдение и координация на държавните помощи (по чл.51 от Закона за държавните помощи) с публичен модул Център за държавни помощи (дигитално пространство/електронна платформа за обмен на информация, сътрудничество и комуникация в областта на държавните помощи между структурите за управление и контрол на ЕСИФ/фондовете на РОР). 
Системата електронизира процесите по предоставяне, контрол и оценка на помощите, процеса по съгласуване за съответствие с приложимите правила за държавни/ минимални помощи с министъра на финансите (НАРЕДБА № 4 от 2016 г. за определяне на реда за съгласуване на проектите на документи по чл. 26, ал. 1 от ЗУСЕСИФ). 
Осигуряване на достъп до всички налични регистри за държавни и минимални помощи и автоматизиран обмен с други информационни регистри и системи.
</t>
  </si>
  <si>
    <t>Брой разработени и внедрени нови функционалности на ИСУН за подготовка, изпълнение, мониторинг, контрол, управление и оценка на средствата от фондовете на РОР.</t>
  </si>
  <si>
    <t>Функционалности за:
1. Подобряване на процесите по подготовка, изпълнение, мониторинг, контрол, управление на програми от СП; 
2. Събиране, структуриране, обработка и анализ на данни, необходими за целите на оценките на  програми от СП;
3. Интеграция с други системи и регистри, в това число хоризонталните системи на електронното управление и с НГП и др.
4. Развитие на ИСУН като инструмент за намаляване на административната тежест, за събиране на структурирани данни и за осигуряване на оперативна съвместимост и интеграция на данни; 
5. Създаване на „кол център“ в помощ на кандидатите за предоставяне на информация за поканите за набиране на проектни предложения.</t>
  </si>
  <si>
    <t xml:space="preserve">Индикаторът измерва процентното намаление на административната тежест за кандидатите, като отчита средния брой изискуеми документи за една процедура (2021-2027) спрямо средния брой необходими документи за програмен период 2014-2020. Основната стойност на показателя е 100%, което се равнява средно на 16.1 документа на процедура, изчислено въз основа на данните в ИСУН за програмите, финансирани от ЕСФ, ЕФРР, КФ, ЕФМДР и ФЕПНЛ за периода 2014-2020. 
</t>
  </si>
  <si>
    <t>Брой служители на хоризонтално ниво в органи/звена от Системата на служебно или трудово правоотношение), вкл. служители на УО на ПТП, чиито възнаграждения се възстановяват по програмата при еквивалент на пълна заетост.</t>
  </si>
  <si>
    <r>
      <t xml:space="preserve">Показателят се отчита на шестмесечие, към 30 юни и 31 декември на съответната година.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Всеки бенефициент предоставя информация на УО на шестмесечна база за средния брой на </t>
    </r>
    <r>
      <rPr>
        <sz val="9"/>
        <color theme="1"/>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color theme="1"/>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theme="1"/>
        <rFont val="Times New Roman"/>
        <family val="1"/>
        <charset val="204"/>
      </rPr>
      <t xml:space="preserve">
</t>
    </r>
    <r>
      <rPr>
        <sz val="9"/>
        <color theme="1"/>
        <rFont val="Times New Roman"/>
        <family val="1"/>
        <charset val="204"/>
      </rPr>
      <t>Междинната цел за 2024 г. и целевата стойност за 2029 г. се отнасят само до броя на служителите, чиито възнаграждения се възстановяват при еквивалент на пълна заетост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като се отчетат разликите в методологията на изчисление.</t>
    </r>
  </si>
  <si>
    <t xml:space="preserve">(О2-1) Хоризонтални модули за обучения </t>
  </si>
  <si>
    <t xml:space="preserve">Под "разработен модул за обучение" се разбира съдържание, разработено от бенефициент по ПТП, отговорен за съответната хоризонтална тема, което задължително съдържа: програма, теоретична част, практическа част, в т.ч. казуси, примери и др., тест за % на усвоените знания. 
Съдържанието следва да позволява обучението да се проведе както в присъствена, така и в дистанционна форма.
</t>
  </si>
  <si>
    <t>Всеки бенефициент текущо предоставя на УО информация и придружаващи доказателства за броя на новоразработените модули за обучение.
В допълнение следва да се представят и доказателства за минимум едно проведено обучение по съответния обучителен модул през календарната година, на което лекторите са били служители на бенефициент по ПТП.  
Всеки модул се отчита само веднъж - през календарното шестмесечие, в което е приложен за първи път чрез проведено обучение.
УО изчислява кумулативно показателя към 30 юни и 31 декември.
* Методологията на индикаторите следва хронологично процеса на подобряване на Системата - като се започне от идентифициране на проблемните области чрез извършване на анализи и оценки, след това предприемане на корективни мерки за оптимизиране на процедурите чрез законодателни промени и методологически указания и накрая чрез осигуряване на специализирани обучения за служителите на Системата. Непрекъснатото подобряване на качеството на обученията се постига чрез непрекъснати анализи за необходимостта от обучения и анализи на обратна връзка от участниците. Въз основа на тази логика индикатори O1-1, O1-2, O1-3, and O2-1 са с едни и същи теми.</t>
  </si>
  <si>
    <t>1. Събиране на информация за обучително съдържание посредством анализи, проучвания, обобщаване на данни, примери за добри практики и др.;
2. Структуриране на събраната информация в обучително съдържание;
3. Разработване на варианти за обучителен модул, проведен в присъствена и в дистанционна форма;
4. Подготовка на служители, които да проведат обучението;
5. Събиране и обработка на данни от получена обратна връзка от обучените лица;
6. Актуализация на обучителния модул в т.ч. съдържание, формат, лектори и др. на база извършени анализи и получени предложения и препоръки.
7. провеждане на проучване сред участниците 6 месеца след обучението дали използват придобитите знания и ако не, защо;</t>
  </si>
  <si>
    <r>
      <t xml:space="preserve">Брой служители на Системата, на ключови бенефициенти по програмите от СП, на организациите, на партньорски организации и обучени външни оценители, преминали през курс на обучение, по проект по ПТП.  
</t>
    </r>
    <r>
      <rPr>
        <i/>
        <sz val="9"/>
        <color theme="1"/>
        <rFont val="Times New Roman"/>
        <family val="1"/>
        <charset val="204"/>
      </rPr>
      <t xml:space="preserve">
</t>
    </r>
  </si>
  <si>
    <t xml:space="preserve">Всеки бенефициент текущо предоставя на УО информация за броя на обучените:
- служители на хоризонтални звена в Системата;
- служители на Управляващи органи; 
- членове на комитети за наблюдение на програмите от СП;
- представители на партньорски организации;
- служители на ключови бенефициенти на програмите от СП;
- служители на организации, изпълняващи финансови инструменти;
- външни оценители.
Отчита се броят на служителите, преминали през курс на обучение по проект по ПТП. 
Един обучен служител е възможно да е преминал повече от едно обучение. 
Ако един служител е преминал 2 обучения, стойността на индикатора е 2.
УО изчислява кумулативно показателя към 30 юни и 31 декември.
</t>
  </si>
  <si>
    <t xml:space="preserve">Изпълнението на индикатора ще стартира с приоритетна централизирана подкрепа за общините от най-слабо развитите райони в България. 
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(приоритетно за общините от най-слабо развитите райони на България)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</si>
  <si>
    <t>(О3-1) ОГО и СИП, ангажирани с мониторинг и оценка на програмите от СП</t>
  </si>
  <si>
    <t xml:space="preserve">1. Идентифициране на подходящи инструменти за събиране и/или анализ на алтернативни данни, необходими за оценки на програми по СП и създаване на предпоставки за тяхното използване;
2. Събиране, обработка и интерпретация на събраните от ОГО и СИП данни;
3. Предложения за усъвършенстване на използваните методологии при извършване на оценки по програми от СП;
4. Извършване на мониторинг на политики по СП;
5. Извеждане на препоръки въз основа на извършения мониторинг и събраните данни и разработване на канали, чрез които партньорите да могат да задават въпроси, да предоставят своя принос, както и да бъдат информирани за начина, по който техните предложения са взети предвид;
6. Създаване на ефективен механизъм за използване на събраните данни от всички заинтересовани от Системата;
7. Провеждане на събития за разпространение на резултатите от извършените дейности.
8. Насърчаване на активното използване на отворени данни за изпълнението на програмите по СП от ОГО, СИП и академичните среди и  разпространение на резултатите от извършените анализи с цел повишаване на доверието в Системата; 
</t>
  </si>
  <si>
    <t xml:space="preserve">1. Популяризиране на резултатите от изпълнението на проекти, съ-финансирани от фондовете на РОР;
2. Ангажиране на ОГО и СИП в информационни кампании, провеждани от хоризонталните звена в Системата;
3. Създаване на нови инициативи чрез активно участие на ОГО и СИП за насърчаване на прозрачността, отчетността и постигнатите резултати;
4. Провеждане на позитивни кампании, насочени към популяризиране на ефекта от подкрепата на фондовете, с акцент върху:
- интервенциите, свързани с климата, 
- създаване на проактивни граждански общности, които да противодействат на явления като: език на омразата, разпространение на фалшива информация, разпадане на ценности и агресия.
</t>
  </si>
  <si>
    <t>(О4-1‭) Обществени консултации, медиации и презентации</t>
  </si>
  <si>
    <t xml:space="preserve">1. Провеждане на публични информационни събития в присъствена или дистанционна форма (информационни дни, пресконференции, публични дискусии, кампании на ниво NUTS II и III за широката общественост, информационни кампании, проведени от Областните информационни центрове и др.) с цел популяризиране на възможностите за подкрепа и резултатите от програмите от СП.
2. Провеждане на специализирани събития за общини с цел повишаване на междуобщинско сътрудничество, капацитетът за стратегическо планиране и активно участие в инициативи на ЕС;
3. Организиране на събития за популяризиране на резултати и препоръки от оценки;
4. Осигуряване на прозрачност за предприетите действия във връзка със сигнали/нередности и измами със средства от фондовете на ЕС. </t>
  </si>
  <si>
    <r>
      <t xml:space="preserve">Отчитат се традиционни и иновативни форми на обществени консултации, медиации и информационни събития, проведени: 
</t>
    </r>
    <r>
      <rPr>
        <b/>
        <sz val="9"/>
        <color theme="1"/>
        <rFont val="Times New Roman"/>
        <family val="1"/>
        <charset val="204"/>
      </rPr>
      <t xml:space="preserve">1. </t>
    </r>
    <r>
      <rPr>
        <sz val="9"/>
        <color theme="1"/>
        <rFont val="Times New Roman"/>
        <family val="1"/>
        <charset val="204"/>
      </rPr>
      <t xml:space="preserve"> </t>
    </r>
    <r>
      <rPr>
        <b/>
        <sz val="9"/>
        <color theme="1"/>
        <rFont val="Times New Roman"/>
        <family val="1"/>
        <charset val="204"/>
      </rPr>
      <t>от ОИЦ</t>
    </r>
    <r>
      <rPr>
        <sz val="9"/>
        <color theme="1"/>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color theme="1"/>
        <rFont val="Times New Roman"/>
        <family val="1"/>
        <charset val="204"/>
      </rPr>
      <t>2.</t>
    </r>
    <r>
      <rPr>
        <sz val="9"/>
        <color theme="1"/>
        <rFont val="Times New Roman"/>
        <family val="1"/>
        <charset val="204"/>
      </rPr>
      <t xml:space="preserve"> З</t>
    </r>
    <r>
      <rPr>
        <b/>
        <sz val="9"/>
        <color theme="1"/>
        <rFont val="Times New Roman"/>
        <family val="1"/>
        <charset val="204"/>
      </rPr>
      <t xml:space="preserve">а общини </t>
    </r>
    <r>
      <rPr>
        <sz val="9"/>
        <color theme="1"/>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color theme="1"/>
        <rFont val="Times New Roman"/>
        <family val="1"/>
        <charset val="204"/>
      </rPr>
      <t xml:space="preserve">3. </t>
    </r>
    <r>
      <rPr>
        <sz val="9"/>
        <color theme="1"/>
        <rFont val="Times New Roman"/>
        <family val="1"/>
        <charset val="204"/>
      </rPr>
      <t>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t>
    </r>
  </si>
  <si>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t>
    </r>
    <r>
      <rPr>
        <sz val="9"/>
        <rFont val="Times New Roman"/>
        <family val="1"/>
        <charset val="204"/>
      </rPr>
      <t>По-висока степен прозрачност и отчетност при изпълнението на СП.</t>
    </r>
  </si>
  <si>
    <t xml:space="preserve">(О2-3) Дял на обучените лица/служители, преминали успешно тест за усвоени знания </t>
  </si>
  <si>
    <t>(О2-2) Брой обучени лица/служители</t>
  </si>
  <si>
    <t>Брой обучени лица/служители</t>
  </si>
  <si>
    <t xml:space="preserve">Дял на обучените лица/служители, преминали успешно тест за усвоени знания </t>
  </si>
  <si>
    <t>(О1-10) Служители на Системата, чиито възнаграждения се възстановяват по Програмата (средно претеглена стойност)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</si>
</sst>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л_в_._-;\-* #,##0.00\ _л_в_._-;_-* &quot;-&quot;??\ _л_в_._-;_-@_-"/>
    <numFmt numFmtId="165" formatCode="_(* #,##0.00_);_(* \(#,##0.00\);_(* &quot;-&quot;??_);_(@_)"/>
    <numFmt numFmtId="166" formatCode="_([$€-2]\ * #,##0.00_);_([$€-2]\ * \(#,##0.00\);_([$€-2]\ * &quot;-&quot;??_);_(@_)"/>
    <numFmt numFmtId="167" formatCode="0.000%"/>
    <numFmt numFmtId="168" formatCode="_-* #,##0\ _л_в_._-;\-* #,##0\ _л_в_._-;_-* &quot;-&quot;??\ _л_в_._-;_-@_-"/>
    <numFmt numFmtId="169" formatCode="#,##0.0"/>
    <numFmt numFmtId="170" formatCode="0.000000%"/>
    <numFmt numFmtId="171" formatCode="#,##0.00000"/>
    <numFmt numFmtId="172" formatCode="#,##0.000000"/>
    <numFmt numFmtId="173" formatCode="0.00000000%"/>
  </numFmts>
  <fonts count="59" x14ac:knownFonts="1">
    <font>
      <sz val="11"/>
      <color theme="1"/>
      <name val="Calibri"/>
      <family val="2"/>
      <charset val="204"/>
      <scheme val="minor"/>
    </font>
    <font>
      <sz val="9"/>
      <color theme="1"/>
      <name val="Times New Roman"/>
      <family val="1"/>
      <charset val="204"/>
    </font>
    <font>
      <sz val="11"/>
      <color theme="1"/>
      <name val="Times New Roman"/>
      <family val="1"/>
      <charset val="204"/>
    </font>
    <font>
      <b/>
      <sz val="9"/>
      <color theme="1"/>
      <name val="Times New Roman"/>
      <family val="1"/>
      <charset val="204"/>
    </font>
    <font>
      <b/>
      <sz val="9"/>
      <color rgb="FF000000"/>
      <name val="Times New Roman"/>
      <family val="1"/>
      <charset val="204"/>
    </font>
    <font>
      <sz val="11"/>
      <color theme="1"/>
      <name val="Calibri"/>
      <family val="2"/>
      <charset val="204"/>
      <scheme val="minor"/>
    </font>
    <font>
      <b/>
      <sz val="11"/>
      <color theme="1"/>
      <name val="Calibri"/>
      <family val="2"/>
      <charset val="204"/>
      <scheme val="minor"/>
    </font>
    <font>
      <b/>
      <sz val="12"/>
      <color theme="1"/>
      <name val="Candara"/>
      <family val="2"/>
      <charset val="204"/>
    </font>
    <font>
      <sz val="12"/>
      <color theme="1"/>
      <name val="Candara"/>
      <family val="2"/>
      <charset val="204"/>
    </font>
    <font>
      <sz val="11"/>
      <color theme="1"/>
      <name val="Calibri"/>
      <family val="2"/>
      <scheme val="minor"/>
    </font>
    <font>
      <b/>
      <sz val="10"/>
      <color rgb="FF000000"/>
      <name val="Tahoma"/>
      <family val="2"/>
      <charset val="204"/>
    </font>
    <font>
      <sz val="10"/>
      <color theme="1"/>
      <name val="Candara"/>
      <family val="2"/>
      <charset val="204"/>
    </font>
    <font>
      <sz val="11"/>
      <color rgb="FF002060"/>
      <name val="Times New Roman"/>
      <family val="1"/>
      <charset val="204"/>
    </font>
    <font>
      <sz val="11"/>
      <color rgb="FF002060"/>
      <name val="Calibri"/>
      <family val="2"/>
      <charset val="204"/>
      <scheme val="minor"/>
    </font>
    <font>
      <b/>
      <sz val="11"/>
      <color theme="9"/>
      <name val="Times New Roman"/>
      <family val="1"/>
      <charset val="204"/>
    </font>
    <font>
      <b/>
      <sz val="11"/>
      <color theme="9"/>
      <name val="Calibri"/>
      <family val="2"/>
      <charset val="204"/>
      <scheme val="minor"/>
    </font>
    <font>
      <b/>
      <sz val="13"/>
      <color rgb="FF000000"/>
      <name val="Times New Roman"/>
      <family val="1"/>
      <charset val="204"/>
    </font>
    <font>
      <b/>
      <sz val="12"/>
      <color rgb="FF000000"/>
      <name val="Times New Roman"/>
      <family val="1"/>
      <charset val="204"/>
    </font>
    <font>
      <sz val="9"/>
      <name val="Times New Roman"/>
      <family val="1"/>
      <charset val="204"/>
    </font>
    <font>
      <sz val="11"/>
      <name val="Times New Roman"/>
      <family val="1"/>
      <charset val="204"/>
    </font>
    <font>
      <b/>
      <sz val="11"/>
      <color theme="1"/>
      <name val="Times New Roman"/>
      <family val="1"/>
      <charset val="204"/>
    </font>
    <font>
      <sz val="9"/>
      <color theme="1"/>
      <name val="Calibri"/>
      <family val="2"/>
      <scheme val="minor"/>
    </font>
    <font>
      <sz val="11"/>
      <name val="Calibri"/>
      <family val="2"/>
      <scheme val="minor"/>
    </font>
    <font>
      <i/>
      <sz val="9"/>
      <color theme="1"/>
      <name val="Times New Roman"/>
      <family val="1"/>
      <charset val="204"/>
    </font>
    <font>
      <sz val="9"/>
      <color rgb="FFFF0000"/>
      <name val="Times New Roman"/>
      <family val="1"/>
      <charset val="204"/>
    </font>
    <font>
      <i/>
      <sz val="9"/>
      <name val="Times New Roman"/>
      <family val="1"/>
      <charset val="204"/>
    </font>
    <font>
      <b/>
      <sz val="10"/>
      <color rgb="FFFF0000"/>
      <name val="Times New Roman"/>
      <family val="1"/>
      <charset val="204"/>
    </font>
    <font>
      <sz val="12"/>
      <color theme="1"/>
      <name val="Times New Roman"/>
      <family val="1"/>
      <charset val="204"/>
    </font>
    <font>
      <b/>
      <sz val="11"/>
      <color rgb="FF000000"/>
      <name val="Times New Roman"/>
      <family val="1"/>
      <charset val="204"/>
    </font>
    <font>
      <sz val="11"/>
      <color rgb="FF000000"/>
      <name val="Times New Roman"/>
      <family val="1"/>
      <charset val="204"/>
    </font>
    <font>
      <b/>
      <sz val="11"/>
      <color theme="9" tint="-0.249977111117893"/>
      <name val="Times New Roman"/>
      <family val="1"/>
      <charset val="204"/>
    </font>
    <font>
      <sz val="11"/>
      <color theme="9" tint="-0.249977111117893"/>
      <name val="Times New Roman"/>
      <family val="1"/>
      <charset val="204"/>
    </font>
    <font>
      <b/>
      <sz val="8"/>
      <color theme="1"/>
      <name val="Times New Roman"/>
      <family val="1"/>
      <charset val="204"/>
    </font>
    <font>
      <sz val="11.5"/>
      <color theme="1"/>
      <name val="Times New Roman"/>
      <family val="1"/>
      <charset val="204"/>
    </font>
    <font>
      <sz val="10"/>
      <color rgb="FF000000"/>
      <name val="Times New Roman"/>
      <family val="1"/>
      <charset val="204"/>
    </font>
    <font>
      <b/>
      <sz val="10"/>
      <color rgb="FF000000"/>
      <name val="Times New Roman"/>
      <family val="1"/>
      <charset val="204"/>
    </font>
    <font>
      <i/>
      <sz val="8"/>
      <color rgb="FF000000"/>
      <name val="Times New Roman"/>
      <family val="1"/>
      <charset val="204"/>
    </font>
    <font>
      <sz val="15"/>
      <color theme="1"/>
      <name val="Times New Roman"/>
      <family val="1"/>
      <charset val="204"/>
    </font>
    <font>
      <i/>
      <sz val="11"/>
      <color rgb="FF000000"/>
      <name val="Times New Roman"/>
      <family val="1"/>
      <charset val="204"/>
    </font>
    <font>
      <b/>
      <sz val="8"/>
      <name val="Times New Roman"/>
      <family val="1"/>
      <charset val="204"/>
    </font>
    <font>
      <b/>
      <sz val="11"/>
      <name val="Times New Roman"/>
      <family val="1"/>
      <charset val="204"/>
    </font>
    <font>
      <b/>
      <sz val="12"/>
      <name val="Times New Roman"/>
      <family val="1"/>
      <charset val="204"/>
    </font>
    <font>
      <sz val="11"/>
      <color theme="0"/>
      <name val="Calibri"/>
      <family val="2"/>
      <charset val="204"/>
      <scheme val="minor"/>
    </font>
    <font>
      <sz val="11"/>
      <color theme="0"/>
      <name val="Times New Roman"/>
      <family val="1"/>
      <charset val="204"/>
    </font>
    <font>
      <b/>
      <sz val="11"/>
      <color theme="0"/>
      <name val="Times New Roman"/>
      <family val="1"/>
      <charset val="204"/>
    </font>
    <font>
      <b/>
      <sz val="8"/>
      <color theme="0"/>
      <name val="Times New Roman"/>
      <family val="1"/>
      <charset val="204"/>
    </font>
    <font>
      <b/>
      <sz val="9"/>
      <color theme="0"/>
      <name val="Times New Roman"/>
      <family val="1"/>
      <charset val="204"/>
    </font>
    <font>
      <sz val="9"/>
      <color theme="0"/>
      <name val="Times New Roman"/>
      <family val="1"/>
      <charset val="204"/>
    </font>
    <font>
      <sz val="12"/>
      <color rgb="FF7030A0"/>
      <name val="Times New Roman"/>
      <family val="1"/>
      <charset val="204"/>
    </font>
    <font>
      <b/>
      <sz val="12"/>
      <color rgb="FF7030A0"/>
      <name val="Times New Roman"/>
      <family val="1"/>
      <charset val="204"/>
    </font>
    <font>
      <b/>
      <sz val="9"/>
      <name val="Times New Roman"/>
      <family val="1"/>
      <charset val="204"/>
    </font>
    <font>
      <b/>
      <sz val="9"/>
      <name val="Times New Roman"/>
      <family val="1"/>
      <charset val="204"/>
    </font>
    <font>
      <b/>
      <i/>
      <sz val="8"/>
      <name val="Times New Roman"/>
      <family val="1"/>
      <charset val="204"/>
    </font>
    <font>
      <strike/>
      <sz val="9"/>
      <color rgb="FFFF0000"/>
      <name val="Times New Roman"/>
      <family val="1"/>
      <charset val="204"/>
    </font>
    <font>
      <b/>
      <sz val="14"/>
      <color rgb="FF002060"/>
      <name val="Times New Roman"/>
      <family val="1"/>
      <charset val="204"/>
    </font>
    <font>
      <sz val="11"/>
      <color rgb="FFFF0000"/>
      <name val="Calibri"/>
      <family val="2"/>
      <charset val="204"/>
      <scheme val="minor"/>
    </font>
    <font>
      <sz val="11"/>
      <color rgb="FFFF0000"/>
      <name val="Times New Roman"/>
      <family val="1"/>
      <charset val="204"/>
    </font>
    <font>
      <sz val="11"/>
      <color rgb="FFFF0000"/>
      <name val="Calibri"/>
      <family val="2"/>
      <scheme val="minor"/>
    </font>
    <font>
      <strike/>
      <sz val="9"/>
      <color theme="1"/>
      <name val="Times New Roman"/>
      <family val="1"/>
      <charset val="204"/>
    </font>
  </fonts>
  <fills count="2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0F0F0"/>
        <bgColor indexed="64"/>
      </patternFill>
    </fill>
    <fill>
      <patternFill patternType="solid">
        <fgColor rgb="FFEEF9FE"/>
      </patternFill>
    </fill>
    <fill>
      <patternFill patternType="solid">
        <fgColor rgb="FFFBFBFB"/>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2"/>
        <bgColor indexed="64"/>
      </patternFill>
    </fill>
    <fill>
      <patternFill patternType="solid">
        <fgColor rgb="FFCCE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Dashed">
        <color auto="1"/>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rgb="FFBBBBBB"/>
      </left>
      <right style="medium">
        <color rgb="FFBBBBBB"/>
      </right>
      <top style="medium">
        <color rgb="FFBBBBBB"/>
      </top>
      <bottom style="medium">
        <color rgb="FFBBBBBB"/>
      </bottom>
      <diagonal/>
    </border>
    <border>
      <left style="thin">
        <color indexed="9"/>
      </left>
      <right style="thin">
        <color indexed="9"/>
      </right>
      <top style="thin">
        <color indexed="9"/>
      </top>
      <bottom style="thin">
        <color indexed="9"/>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indexed="64"/>
      </top>
      <bottom style="thin">
        <color indexed="64"/>
      </bottom>
      <diagonal/>
    </border>
  </borders>
  <cellStyleXfs count="12">
    <xf numFmtId="0" fontId="0" fillId="0" borderId="0"/>
    <xf numFmtId="164" fontId="5" fillId="0" borderId="0" applyFont="0" applyFill="0" applyBorder="0" applyAlignment="0" applyProtection="0"/>
    <xf numFmtId="0" fontId="5" fillId="0" borderId="0"/>
    <xf numFmtId="9" fontId="9" fillId="0" borderId="0" applyFont="0" applyFill="0" applyBorder="0" applyAlignment="0" applyProtection="0"/>
    <xf numFmtId="165" fontId="5" fillId="0" borderId="0" applyFont="0" applyFill="0" applyBorder="0" applyAlignment="0" applyProtection="0"/>
    <xf numFmtId="165" fontId="9" fillId="0" borderId="0" applyFont="0" applyFill="0" applyBorder="0" applyAlignment="0" applyProtection="0"/>
    <xf numFmtId="0" fontId="9" fillId="0" borderId="0"/>
    <xf numFmtId="9"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0" fontId="5" fillId="0" borderId="0"/>
  </cellStyleXfs>
  <cellXfs count="461">
    <xf numFmtId="0" fontId="0" fillId="0" borderId="0" xfId="0"/>
    <xf numFmtId="0" fontId="3" fillId="2" borderId="1" xfId="0" applyFont="1" applyFill="1" applyBorder="1" applyAlignment="1">
      <alignment horizontal="center" vertical="top" wrapText="1"/>
    </xf>
    <xf numFmtId="0" fontId="1" fillId="0" borderId="0" xfId="0" applyFont="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2" fillId="0" borderId="0" xfId="0" applyFont="1" applyAlignment="1">
      <alignment vertical="top"/>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vertical="top" wrapText="1"/>
    </xf>
    <xf numFmtId="0" fontId="3" fillId="2" borderId="2" xfId="0" applyFont="1" applyFill="1" applyBorder="1" applyAlignment="1">
      <alignment horizontal="center" vertical="top" wrapText="1"/>
    </xf>
    <xf numFmtId="0" fontId="1" fillId="0" borderId="5" xfId="0" applyFont="1" applyBorder="1" applyAlignment="1">
      <alignment horizontal="left" vertical="top" wrapText="1"/>
    </xf>
    <xf numFmtId="0" fontId="1" fillId="0" borderId="6" xfId="0" applyFont="1" applyBorder="1" applyAlignment="1">
      <alignment vertical="top" wrapText="1"/>
    </xf>
    <xf numFmtId="0" fontId="1" fillId="0" borderId="7" xfId="0" applyFont="1" applyBorder="1" applyAlignment="1">
      <alignment horizontal="left" vertical="top" wrapText="1"/>
    </xf>
    <xf numFmtId="0" fontId="1" fillId="0" borderId="8" xfId="0" applyFont="1" applyBorder="1" applyAlignment="1">
      <alignmen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 fillId="0" borderId="6" xfId="0" applyFont="1" applyBorder="1" applyAlignment="1">
      <alignment horizontal="left" vertical="top" wrapText="1"/>
    </xf>
    <xf numFmtId="0" fontId="3" fillId="0" borderId="4" xfId="0" applyFont="1" applyBorder="1" applyAlignment="1">
      <alignment horizontal="left" vertical="top" wrapText="1"/>
    </xf>
    <xf numFmtId="0" fontId="1" fillId="0" borderId="9" xfId="0" applyFont="1" applyBorder="1" applyAlignment="1">
      <alignment horizontal="left" vertical="top" wrapText="1"/>
    </xf>
    <xf numFmtId="0" fontId="3" fillId="0" borderId="7" xfId="0" applyFont="1" applyBorder="1" applyAlignment="1">
      <alignment horizontal="left" vertical="top" wrapText="1"/>
    </xf>
    <xf numFmtId="0" fontId="1" fillId="0" borderId="12" xfId="0" applyFont="1" applyBorder="1" applyAlignment="1">
      <alignment horizontal="left" vertical="top" wrapText="1"/>
    </xf>
    <xf numFmtId="3" fontId="3" fillId="2" borderId="2" xfId="0" applyNumberFormat="1" applyFont="1" applyFill="1" applyBorder="1" applyAlignment="1">
      <alignment horizontal="right" vertical="top" wrapText="1"/>
    </xf>
    <xf numFmtId="3" fontId="3" fillId="2" borderId="1" xfId="0" applyNumberFormat="1" applyFont="1" applyFill="1" applyBorder="1" applyAlignment="1">
      <alignment horizontal="right" vertical="top" wrapText="1"/>
    </xf>
    <xf numFmtId="3" fontId="3" fillId="0" borderId="3" xfId="0" applyNumberFormat="1" applyFont="1" applyBorder="1" applyAlignment="1">
      <alignment vertical="top" wrapText="1"/>
    </xf>
    <xf numFmtId="0" fontId="3" fillId="0" borderId="3" xfId="0" applyFont="1" applyBorder="1" applyAlignment="1">
      <alignment horizontal="left" vertical="top" wrapText="1"/>
    </xf>
    <xf numFmtId="3" fontId="3" fillId="0" borderId="2" xfId="0" applyNumberFormat="1" applyFont="1" applyBorder="1" applyAlignment="1">
      <alignment horizontal="right" vertical="top" wrapText="1"/>
    </xf>
    <xf numFmtId="3" fontId="3" fillId="0" borderId="4" xfId="0" applyNumberFormat="1" applyFont="1" applyBorder="1" applyAlignment="1">
      <alignment horizontal="right" vertical="top" wrapText="1"/>
    </xf>
    <xf numFmtId="3" fontId="3" fillId="0" borderId="1" xfId="0" applyNumberFormat="1" applyFont="1" applyBorder="1" applyAlignment="1">
      <alignment horizontal="right" vertical="top" wrapText="1"/>
    </xf>
    <xf numFmtId="3" fontId="3" fillId="0" borderId="9" xfId="0" applyNumberFormat="1" applyFont="1" applyBorder="1" applyAlignment="1">
      <alignment horizontal="right" vertical="top" wrapText="1"/>
    </xf>
    <xf numFmtId="3" fontId="3" fillId="0" borderId="6" xfId="0" applyNumberFormat="1" applyFont="1" applyBorder="1" applyAlignment="1">
      <alignment horizontal="right" vertical="top" wrapText="1"/>
    </xf>
    <xf numFmtId="3" fontId="3" fillId="0" borderId="12" xfId="0" applyNumberFormat="1" applyFont="1" applyBorder="1" applyAlignment="1">
      <alignment horizontal="right" vertical="top" wrapText="1"/>
    </xf>
    <xf numFmtId="3" fontId="3" fillId="0" borderId="0" xfId="0" applyNumberFormat="1" applyFont="1" applyAlignment="1">
      <alignment horizontal="right" vertical="top"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horizontal="left" vertical="top" wrapText="1"/>
    </xf>
    <xf numFmtId="0" fontId="3" fillId="0" borderId="2" xfId="0" applyFont="1" applyBorder="1" applyAlignment="1">
      <alignment horizontal="right" vertical="top" wrapText="1"/>
    </xf>
    <xf numFmtId="3" fontId="1" fillId="0" borderId="4" xfId="0" applyNumberFormat="1" applyFont="1" applyBorder="1" applyAlignment="1">
      <alignment horizontal="left" vertical="top" wrapText="1"/>
    </xf>
    <xf numFmtId="0" fontId="8" fillId="0" borderId="0" xfId="2" applyFont="1"/>
    <xf numFmtId="0" fontId="7" fillId="5" borderId="16" xfId="2" applyFont="1" applyFill="1" applyBorder="1" applyAlignment="1">
      <alignment horizontal="center" vertical="center" wrapText="1"/>
    </xf>
    <xf numFmtId="0" fontId="7" fillId="5" borderId="6" xfId="2" applyFont="1" applyFill="1" applyBorder="1" applyAlignment="1">
      <alignment horizontal="center" vertical="center" wrapText="1"/>
    </xf>
    <xf numFmtId="0" fontId="7" fillId="0" borderId="0" xfId="2" applyFont="1" applyAlignment="1">
      <alignment wrapText="1"/>
    </xf>
    <xf numFmtId="0" fontId="7" fillId="6" borderId="3" xfId="2" applyFont="1" applyFill="1" applyBorder="1" applyAlignment="1">
      <alignment horizontal="center" wrapText="1"/>
    </xf>
    <xf numFmtId="0" fontId="7" fillId="6" borderId="6" xfId="2" applyFont="1" applyFill="1" applyBorder="1" applyAlignment="1">
      <alignment horizontal="center" vertical="center" wrapText="1"/>
    </xf>
    <xf numFmtId="3" fontId="7" fillId="7" borderId="1" xfId="2" applyNumberFormat="1" applyFont="1" applyFill="1" applyBorder="1" applyAlignment="1">
      <alignment horizontal="center"/>
    </xf>
    <xf numFmtId="3" fontId="7" fillId="7" borderId="1" xfId="2" applyNumberFormat="1" applyFont="1" applyFill="1" applyBorder="1"/>
    <xf numFmtId="0" fontId="8" fillId="4" borderId="11" xfId="2" applyFont="1" applyFill="1" applyBorder="1" applyAlignment="1">
      <alignment vertical="center"/>
    </xf>
    <xf numFmtId="3" fontId="8" fillId="4" borderId="1" xfId="2" applyNumberFormat="1" applyFont="1" applyFill="1" applyBorder="1" applyAlignment="1">
      <alignment horizontal="right" vertical="center" wrapText="1"/>
    </xf>
    <xf numFmtId="0" fontId="8" fillId="4" borderId="1" xfId="2" applyFont="1" applyFill="1" applyBorder="1" applyAlignment="1">
      <alignment horizontal="left" vertical="center" wrapText="1"/>
    </xf>
    <xf numFmtId="9" fontId="8" fillId="0" borderId="0" xfId="3" applyFont="1"/>
    <xf numFmtId="0" fontId="7" fillId="8" borderId="0" xfId="2" applyFont="1" applyFill="1" applyBorder="1" applyAlignment="1">
      <alignment vertical="center" wrapText="1"/>
    </xf>
    <xf numFmtId="0" fontId="8" fillId="0" borderId="0" xfId="2" applyFont="1" applyBorder="1"/>
    <xf numFmtId="0" fontId="8" fillId="4" borderId="11" xfId="2" applyFont="1" applyFill="1" applyBorder="1" applyAlignment="1">
      <alignment vertical="center" wrapText="1"/>
    </xf>
    <xf numFmtId="0" fontId="8" fillId="4" borderId="1" xfId="2" applyFont="1" applyFill="1" applyBorder="1"/>
    <xf numFmtId="0" fontId="8" fillId="4" borderId="0" xfId="2" applyFont="1" applyFill="1"/>
    <xf numFmtId="3" fontId="8" fillId="4" borderId="2" xfId="2" applyNumberFormat="1" applyFont="1" applyFill="1" applyBorder="1" applyAlignment="1">
      <alignment horizontal="right" vertical="center"/>
    </xf>
    <xf numFmtId="0" fontId="8" fillId="4" borderId="2" xfId="2" applyFont="1" applyFill="1" applyBorder="1" applyAlignment="1">
      <alignment horizontal="left" vertical="center" wrapText="1"/>
    </xf>
    <xf numFmtId="0" fontId="7" fillId="7" borderId="1" xfId="2" applyFont="1" applyFill="1" applyBorder="1"/>
    <xf numFmtId="3" fontId="7" fillId="7" borderId="1" xfId="2" applyNumberFormat="1" applyFont="1" applyFill="1" applyBorder="1" applyAlignment="1">
      <alignment horizontal="right" vertical="center"/>
    </xf>
    <xf numFmtId="166" fontId="8" fillId="7" borderId="1" xfId="4" applyNumberFormat="1" applyFont="1" applyFill="1" applyBorder="1" applyAlignment="1">
      <alignment horizontal="left"/>
    </xf>
    <xf numFmtId="0" fontId="7" fillId="6" borderId="1" xfId="2" applyFont="1" applyFill="1" applyBorder="1" applyAlignment="1">
      <alignment horizontal="center" wrapText="1"/>
    </xf>
    <xf numFmtId="0" fontId="7" fillId="6" borderId="1" xfId="2" applyFont="1" applyFill="1" applyBorder="1" applyAlignment="1">
      <alignment horizontal="center" vertical="center" wrapText="1"/>
    </xf>
    <xf numFmtId="0" fontId="8" fillId="4" borderId="4" xfId="2" applyFont="1" applyFill="1" applyBorder="1" applyAlignment="1">
      <alignment wrapText="1"/>
    </xf>
    <xf numFmtId="3" fontId="8" fillId="4" borderId="4" xfId="2" applyNumberFormat="1" applyFont="1" applyFill="1" applyBorder="1" applyAlignment="1">
      <alignment horizontal="right"/>
    </xf>
    <xf numFmtId="9" fontId="7" fillId="7" borderId="1" xfId="3" applyFont="1" applyFill="1" applyBorder="1" applyAlignment="1">
      <alignment horizontal="center"/>
    </xf>
    <xf numFmtId="0" fontId="8" fillId="4" borderId="1" xfId="2" applyFont="1" applyFill="1" applyBorder="1" applyAlignment="1">
      <alignment wrapText="1"/>
    </xf>
    <xf numFmtId="3" fontId="8" fillId="4" borderId="1" xfId="2" applyNumberFormat="1" applyFont="1" applyFill="1" applyBorder="1" applyAlignment="1">
      <alignment horizontal="right"/>
    </xf>
    <xf numFmtId="166" fontId="8" fillId="7" borderId="1" xfId="4" applyNumberFormat="1" applyFont="1" applyFill="1" applyBorder="1" applyAlignment="1">
      <alignment horizontal="right"/>
    </xf>
    <xf numFmtId="9" fontId="8" fillId="0" borderId="0" xfId="3" applyNumberFormat="1" applyFont="1"/>
    <xf numFmtId="0" fontId="7" fillId="9" borderId="1" xfId="2" applyFont="1" applyFill="1" applyBorder="1"/>
    <xf numFmtId="3" fontId="7" fillId="9" borderId="1" xfId="2" applyNumberFormat="1" applyFont="1" applyFill="1" applyBorder="1" applyAlignment="1">
      <alignment horizontal="right"/>
    </xf>
    <xf numFmtId="167" fontId="7" fillId="7" borderId="1" xfId="3" applyNumberFormat="1" applyFont="1" applyFill="1" applyBorder="1" applyAlignment="1">
      <alignment horizontal="center"/>
    </xf>
    <xf numFmtId="165" fontId="8" fillId="0" borderId="0" xfId="5" applyFont="1"/>
    <xf numFmtId="3" fontId="3" fillId="0" borderId="1" xfId="0" applyNumberFormat="1" applyFont="1" applyBorder="1" applyAlignment="1">
      <alignmen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 fillId="0" borderId="10" xfId="0" applyFont="1" applyBorder="1" applyAlignment="1">
      <alignment vertical="top" wrapText="1"/>
    </xf>
    <xf numFmtId="3" fontId="3" fillId="0" borderId="2" xfId="0" applyNumberFormat="1" applyFont="1" applyBorder="1" applyAlignment="1">
      <alignment vertical="top" wrapText="1"/>
    </xf>
    <xf numFmtId="3" fontId="3" fillId="0" borderId="9" xfId="0" applyNumberFormat="1" applyFont="1" applyBorder="1" applyAlignment="1">
      <alignment vertical="top" wrapText="1"/>
    </xf>
    <xf numFmtId="0" fontId="3" fillId="0" borderId="6" xfId="0" applyFont="1" applyBorder="1" applyAlignment="1">
      <alignment vertical="top" wrapText="1"/>
    </xf>
    <xf numFmtId="164" fontId="3" fillId="0" borderId="4" xfId="1" applyFont="1" applyBorder="1" applyAlignment="1">
      <alignment horizontal="right" vertical="top" wrapText="1"/>
    </xf>
    <xf numFmtId="164" fontId="8" fillId="4" borderId="0" xfId="1" applyFont="1" applyFill="1"/>
    <xf numFmtId="3" fontId="1" fillId="0" borderId="0" xfId="0" applyNumberFormat="1" applyFont="1" applyAlignment="1">
      <alignment vertical="top" wrapText="1"/>
    </xf>
    <xf numFmtId="1" fontId="3" fillId="0" borderId="2" xfId="0" applyNumberFormat="1" applyFont="1" applyBorder="1" applyAlignment="1">
      <alignment vertical="top" wrapText="1"/>
    </xf>
    <xf numFmtId="3" fontId="3" fillId="0" borderId="0" xfId="0" applyNumberFormat="1" applyFont="1" applyAlignment="1">
      <alignment vertical="top" wrapText="1"/>
    </xf>
    <xf numFmtId="0" fontId="1" fillId="0" borderId="0" xfId="0" applyFont="1" applyAlignment="1">
      <alignment horizontal="right" vertical="top" wrapText="1"/>
    </xf>
    <xf numFmtId="0" fontId="1" fillId="0" borderId="22" xfId="0" applyFont="1" applyBorder="1" applyAlignment="1">
      <alignment horizontal="right" vertical="top" wrapText="1"/>
    </xf>
    <xf numFmtId="0" fontId="1" fillId="0" borderId="23" xfId="0" applyFont="1" applyBorder="1" applyAlignment="1">
      <alignment vertical="top" wrapText="1"/>
    </xf>
    <xf numFmtId="0" fontId="1" fillId="0" borderId="25" xfId="0" applyFont="1" applyBorder="1" applyAlignment="1">
      <alignment vertical="top" wrapText="1"/>
    </xf>
    <xf numFmtId="0" fontId="1" fillId="0" borderId="26" xfId="0" applyFont="1" applyBorder="1" applyAlignment="1">
      <alignment vertical="top" wrapText="1"/>
    </xf>
    <xf numFmtId="9" fontId="1" fillId="0" borderId="27" xfId="7" applyFont="1" applyBorder="1" applyAlignment="1">
      <alignment vertical="top" wrapText="1"/>
    </xf>
    <xf numFmtId="16" fontId="1" fillId="0" borderId="24" xfId="0" applyNumberFormat="1" applyFont="1" applyBorder="1" applyAlignment="1">
      <alignment horizontal="right" vertical="top" wrapText="1"/>
    </xf>
    <xf numFmtId="1" fontId="1" fillId="0" borderId="23" xfId="0" applyNumberFormat="1" applyFont="1" applyBorder="1" applyAlignment="1">
      <alignment vertical="top" wrapText="1"/>
    </xf>
    <xf numFmtId="1" fontId="1" fillId="0" borderId="28" xfId="0" applyNumberFormat="1" applyFont="1" applyBorder="1" applyAlignment="1">
      <alignment vertical="top" wrapText="1"/>
    </xf>
    <xf numFmtId="3" fontId="3" fillId="0" borderId="29" xfId="0" applyNumberFormat="1" applyFont="1" applyBorder="1" applyAlignment="1">
      <alignment horizontal="right" vertical="top" wrapText="1"/>
    </xf>
    <xf numFmtId="3" fontId="3" fillId="0" borderId="30" xfId="0" applyNumberFormat="1" applyFont="1" applyBorder="1" applyAlignment="1">
      <alignment horizontal="right" vertical="top" wrapText="1"/>
    </xf>
    <xf numFmtId="3" fontId="3" fillId="0" borderId="0" xfId="0" applyNumberFormat="1" applyFont="1" applyBorder="1" applyAlignment="1">
      <alignment horizontal="right" vertical="top" wrapText="1"/>
    </xf>
    <xf numFmtId="3" fontId="3" fillId="0" borderId="11" xfId="0" applyNumberFormat="1" applyFont="1" applyBorder="1" applyAlignment="1">
      <alignment horizontal="right" vertical="top" wrapText="1"/>
    </xf>
    <xf numFmtId="0" fontId="1" fillId="0" borderId="7" xfId="0" applyFont="1" applyBorder="1" applyAlignment="1">
      <alignment vertical="top" wrapText="1"/>
    </xf>
    <xf numFmtId="3" fontId="3" fillId="0" borderId="7" xfId="0" applyNumberFormat="1" applyFont="1" applyBorder="1" applyAlignment="1">
      <alignment vertical="top" wrapText="1"/>
    </xf>
    <xf numFmtId="0" fontId="3" fillId="0" borderId="10" xfId="0" applyFont="1" applyBorder="1" applyAlignment="1">
      <alignment vertical="top" wrapText="1"/>
    </xf>
    <xf numFmtId="1" fontId="3" fillId="0" borderId="7" xfId="0" applyNumberFormat="1" applyFont="1" applyBorder="1" applyAlignment="1">
      <alignment vertical="top" wrapText="1"/>
    </xf>
    <xf numFmtId="0" fontId="3" fillId="0" borderId="8" xfId="0" applyFont="1" applyBorder="1" applyAlignment="1">
      <alignment vertical="top" wrapText="1"/>
    </xf>
    <xf numFmtId="3" fontId="1" fillId="0" borderId="0" xfId="0" applyNumberFormat="1" applyFont="1" applyBorder="1" applyAlignment="1">
      <alignment vertical="top" wrapText="1"/>
    </xf>
    <xf numFmtId="1" fontId="1" fillId="0" borderId="0" xfId="0" applyNumberFormat="1" applyFont="1" applyAlignment="1">
      <alignment vertical="top" wrapText="1"/>
    </xf>
    <xf numFmtId="0" fontId="1" fillId="0" borderId="22" xfId="0" applyFont="1" applyBorder="1" applyAlignment="1">
      <alignment vertical="top" wrapText="1"/>
    </xf>
    <xf numFmtId="9" fontId="0" fillId="0" borderId="0" xfId="7" applyFont="1"/>
    <xf numFmtId="4" fontId="0" fillId="0" borderId="0" xfId="0" applyNumberFormat="1"/>
    <xf numFmtId="0" fontId="0" fillId="11" borderId="0" xfId="0" applyFill="1"/>
    <xf numFmtId="0" fontId="10" fillId="12" borderId="36" xfId="0" applyFont="1" applyFill="1" applyBorder="1" applyAlignment="1">
      <alignment horizontal="right" wrapText="1"/>
    </xf>
    <xf numFmtId="0" fontId="10" fillId="0" borderId="0" xfId="0" applyFont="1"/>
    <xf numFmtId="3" fontId="0" fillId="0" borderId="0" xfId="0" applyNumberFormat="1"/>
    <xf numFmtId="1" fontId="0" fillId="0" borderId="0" xfId="0" applyNumberFormat="1"/>
    <xf numFmtId="3" fontId="11" fillId="0" borderId="1" xfId="0" applyNumberFormat="1" applyFont="1" applyFill="1" applyBorder="1" applyAlignment="1">
      <alignment horizontal="center" vertical="center" wrapText="1"/>
    </xf>
    <xf numFmtId="3" fontId="11" fillId="0" borderId="1"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3" fontId="6" fillId="0" borderId="0" xfId="0" applyNumberFormat="1" applyFont="1"/>
    <xf numFmtId="168" fontId="0" fillId="0" borderId="0" xfId="1" applyNumberFormat="1" applyFont="1"/>
    <xf numFmtId="10" fontId="0" fillId="0" borderId="0" xfId="7" applyNumberFormat="1" applyFont="1"/>
    <xf numFmtId="1" fontId="0" fillId="13" borderId="37" xfId="0" applyNumberFormat="1" applyFill="1" applyBorder="1" applyAlignment="1">
      <alignment horizontal="right"/>
    </xf>
    <xf numFmtId="1" fontId="0" fillId="14" borderId="37" xfId="0" applyNumberFormat="1" applyFill="1" applyBorder="1" applyAlignment="1">
      <alignment horizontal="right"/>
    </xf>
    <xf numFmtId="0" fontId="0" fillId="8" borderId="0" xfId="0" applyFill="1"/>
    <xf numFmtId="0" fontId="2" fillId="8" borderId="0" xfId="0" applyFont="1" applyFill="1"/>
    <xf numFmtId="168" fontId="2" fillId="8" borderId="0" xfId="0" applyNumberFormat="1" applyFont="1" applyFill="1"/>
    <xf numFmtId="3" fontId="6" fillId="8" borderId="0" xfId="0" applyNumberFormat="1" applyFont="1" applyFill="1" applyBorder="1"/>
    <xf numFmtId="0" fontId="0" fillId="8" borderId="0" xfId="0" applyFill="1" applyAlignment="1">
      <alignment horizontal="left" vertical="top" wrapText="1"/>
    </xf>
    <xf numFmtId="0" fontId="21" fillId="8" borderId="0" xfId="0" applyFont="1" applyFill="1" applyAlignment="1">
      <alignment horizontal="left" vertical="top" wrapText="1"/>
    </xf>
    <xf numFmtId="0" fontId="0" fillId="8" borderId="0" xfId="0" applyFont="1" applyFill="1"/>
    <xf numFmtId="3" fontId="0" fillId="8" borderId="0" xfId="0" applyNumberFormat="1" applyFill="1" applyAlignment="1">
      <alignment horizontal="right"/>
    </xf>
    <xf numFmtId="3" fontId="22" fillId="8" borderId="0" xfId="0" applyNumberFormat="1" applyFont="1" applyFill="1" applyAlignment="1">
      <alignment horizontal="right"/>
    </xf>
    <xf numFmtId="4" fontId="0" fillId="8" borderId="0" xfId="0" applyNumberFormat="1" applyFont="1" applyFill="1" applyBorder="1"/>
    <xf numFmtId="0" fontId="28" fillId="0" borderId="2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3" xfId="0" applyFont="1" applyBorder="1" applyAlignment="1">
      <alignment horizontal="justify" vertical="center" wrapText="1"/>
    </xf>
    <xf numFmtId="4" fontId="29" fillId="0" borderId="19" xfId="0" applyNumberFormat="1" applyFont="1" applyBorder="1" applyAlignment="1">
      <alignment horizontal="right" vertical="center" wrapText="1"/>
    </xf>
    <xf numFmtId="4" fontId="29" fillId="0" borderId="19" xfId="0" applyNumberFormat="1" applyFont="1" applyBorder="1" applyAlignment="1">
      <alignment horizontal="center" vertical="center" wrapText="1"/>
    </xf>
    <xf numFmtId="10" fontId="29" fillId="0" borderId="19" xfId="0" applyNumberFormat="1" applyFont="1" applyBorder="1" applyAlignment="1">
      <alignment horizontal="center" vertical="center" wrapText="1"/>
    </xf>
    <xf numFmtId="0" fontId="0" fillId="8" borderId="0" xfId="0" applyFont="1" applyFill="1" applyBorder="1"/>
    <xf numFmtId="0" fontId="29" fillId="0" borderId="33" xfId="0" applyFont="1" applyFill="1" applyBorder="1" applyAlignment="1">
      <alignment horizontal="justify" vertical="center" wrapText="1"/>
    </xf>
    <xf numFmtId="0" fontId="29" fillId="0" borderId="19" xfId="0" applyFont="1" applyFill="1" applyBorder="1" applyAlignment="1">
      <alignment horizontal="left" vertical="center" wrapText="1"/>
    </xf>
    <xf numFmtId="0" fontId="29" fillId="0" borderId="19" xfId="0" applyFont="1" applyBorder="1" applyAlignment="1">
      <alignment horizontal="right" vertical="center" wrapText="1"/>
    </xf>
    <xf numFmtId="2" fontId="29" fillId="0" borderId="19" xfId="0" applyNumberFormat="1" applyFont="1" applyBorder="1" applyAlignment="1">
      <alignment horizontal="right" vertical="center" wrapText="1"/>
    </xf>
    <xf numFmtId="10" fontId="29" fillId="0" borderId="19" xfId="7" applyNumberFormat="1" applyFont="1" applyBorder="1" applyAlignment="1">
      <alignment horizontal="center" vertical="center" wrapText="1"/>
    </xf>
    <xf numFmtId="4" fontId="0" fillId="8" borderId="0" xfId="0" applyNumberFormat="1" applyFont="1" applyFill="1"/>
    <xf numFmtId="0" fontId="29" fillId="0" borderId="19" xfId="0" applyFont="1" applyFill="1" applyBorder="1" applyAlignment="1">
      <alignment horizontal="justify" vertical="center" wrapText="1"/>
    </xf>
    <xf numFmtId="4" fontId="28" fillId="0" borderId="19" xfId="0" applyNumberFormat="1" applyFont="1" applyBorder="1" applyAlignment="1">
      <alignment horizontal="center" vertical="center" wrapText="1"/>
    </xf>
    <xf numFmtId="170" fontId="28" fillId="0" borderId="19" xfId="7" applyNumberFormat="1" applyFont="1" applyBorder="1" applyAlignment="1">
      <alignment horizontal="center" vertical="center" wrapText="1"/>
    </xf>
    <xf numFmtId="3" fontId="2" fillId="8" borderId="0" xfId="0" applyNumberFormat="1" applyFont="1" applyFill="1" applyBorder="1" applyAlignment="1">
      <alignment horizontal="right" vertical="center" wrapText="1"/>
    </xf>
    <xf numFmtId="4" fontId="2" fillId="8" borderId="0" xfId="0" applyNumberFormat="1" applyFont="1" applyFill="1" applyBorder="1" applyAlignment="1">
      <alignment horizontal="right" vertical="center" wrapText="1"/>
    </xf>
    <xf numFmtId="3" fontId="0" fillId="8" borderId="0" xfId="0" applyNumberFormat="1" applyFont="1" applyFill="1" applyBorder="1" applyAlignment="1">
      <alignment vertical="top" wrapText="1"/>
    </xf>
    <xf numFmtId="3" fontId="0" fillId="8" borderId="0" xfId="0" applyNumberFormat="1" applyFont="1" applyFill="1" applyBorder="1"/>
    <xf numFmtId="3" fontId="29" fillId="8" borderId="0" xfId="0" applyNumberFormat="1" applyFont="1" applyFill="1" applyBorder="1" applyAlignment="1">
      <alignment horizontal="right" vertical="center" wrapText="1"/>
    </xf>
    <xf numFmtId="3" fontId="20" fillId="8" borderId="0" xfId="0" applyNumberFormat="1" applyFont="1" applyFill="1" applyBorder="1" applyAlignment="1">
      <alignment horizontal="center" vertical="center" wrapText="1"/>
    </xf>
    <xf numFmtId="3" fontId="30" fillId="8" borderId="0" xfId="0" applyNumberFormat="1" applyFont="1" applyFill="1" applyBorder="1" applyAlignment="1">
      <alignment wrapText="1"/>
    </xf>
    <xf numFmtId="3" fontId="31" fillId="8" borderId="0" xfId="0" applyNumberFormat="1" applyFont="1" applyFill="1" applyBorder="1" applyAlignment="1">
      <alignment vertical="center" wrapText="1"/>
    </xf>
    <xf numFmtId="3" fontId="20" fillId="8" borderId="0" xfId="0" applyNumberFormat="1" applyFont="1" applyFill="1" applyBorder="1" applyAlignment="1">
      <alignment horizontal="right" vertical="center" wrapText="1"/>
    </xf>
    <xf numFmtId="3" fontId="30" fillId="8" borderId="0" xfId="0" applyNumberFormat="1" applyFont="1" applyFill="1" applyBorder="1" applyAlignment="1">
      <alignment horizontal="center" vertical="top" wrapText="1"/>
    </xf>
    <xf numFmtId="3" fontId="30" fillId="8" borderId="0" xfId="0" applyNumberFormat="1" applyFont="1" applyFill="1" applyBorder="1" applyAlignment="1">
      <alignment horizontal="right" wrapText="1"/>
    </xf>
    <xf numFmtId="3" fontId="30" fillId="8" borderId="0" xfId="0" applyNumberFormat="1" applyFont="1" applyFill="1" applyBorder="1" applyAlignment="1">
      <alignment horizontal="right" vertical="top" wrapText="1"/>
    </xf>
    <xf numFmtId="3" fontId="18" fillId="15" borderId="1" xfId="0" applyNumberFormat="1" applyFont="1" applyFill="1" applyBorder="1" applyAlignment="1">
      <alignment horizontal="center" vertical="center" wrapText="1"/>
    </xf>
    <xf numFmtId="3" fontId="3" fillId="17" borderId="1" xfId="0" applyNumberFormat="1" applyFont="1" applyFill="1" applyBorder="1" applyAlignment="1">
      <alignment horizontal="center" vertical="center"/>
    </xf>
    <xf numFmtId="3" fontId="2" fillId="10" borderId="1" xfId="0" applyNumberFormat="1" applyFont="1" applyFill="1" applyBorder="1" applyAlignment="1">
      <alignment vertical="distributed"/>
    </xf>
    <xf numFmtId="3" fontId="19" fillId="10" borderId="1" xfId="0" applyNumberFormat="1" applyFont="1" applyFill="1" applyBorder="1" applyAlignment="1">
      <alignment vertical="distributed"/>
    </xf>
    <xf numFmtId="3" fontId="20" fillId="17" borderId="1" xfId="0" applyNumberFormat="1" applyFont="1" applyFill="1" applyBorder="1" applyAlignment="1">
      <alignment vertical="distributed"/>
    </xf>
    <xf numFmtId="3" fontId="2" fillId="10" borderId="1" xfId="0" applyNumberFormat="1" applyFont="1" applyFill="1" applyBorder="1" applyAlignment="1">
      <alignment vertical="distributed" wrapText="1"/>
    </xf>
    <xf numFmtId="3" fontId="1" fillId="10" borderId="1" xfId="0" applyNumberFormat="1" applyFont="1" applyFill="1" applyBorder="1" applyAlignment="1">
      <alignment vertical="distributed" wrapText="1"/>
    </xf>
    <xf numFmtId="0" fontId="33" fillId="10" borderId="1" xfId="0" applyFont="1" applyFill="1" applyBorder="1" applyAlignment="1">
      <alignment vertical="center" wrapText="1"/>
    </xf>
    <xf numFmtId="0" fontId="17" fillId="0" borderId="19" xfId="0" applyFont="1" applyBorder="1" applyAlignment="1">
      <alignment horizontal="justify" vertical="center" wrapText="1"/>
    </xf>
    <xf numFmtId="0" fontId="17" fillId="0" borderId="19" xfId="0" applyFont="1" applyBorder="1" applyAlignment="1">
      <alignment horizontal="center" vertical="center" wrapText="1"/>
    </xf>
    <xf numFmtId="0" fontId="17" fillId="0" borderId="19" xfId="0" applyNumberFormat="1" applyFont="1" applyFill="1" applyBorder="1" applyAlignment="1">
      <alignment horizontal="center" vertical="center" wrapText="1"/>
    </xf>
    <xf numFmtId="0" fontId="17" fillId="0" borderId="19" xfId="0" applyNumberFormat="1" applyFont="1" applyBorder="1" applyAlignment="1">
      <alignment horizontal="center" vertical="center" wrapText="1"/>
    </xf>
    <xf numFmtId="0" fontId="34" fillId="0" borderId="19" xfId="0" applyFont="1" applyBorder="1" applyAlignment="1">
      <alignment horizontal="left" vertical="center" wrapText="1"/>
    </xf>
    <xf numFmtId="0" fontId="28" fillId="0" borderId="48" xfId="0" applyFont="1" applyBorder="1" applyAlignment="1">
      <alignment horizontal="justify" vertical="center" wrapText="1"/>
    </xf>
    <xf numFmtId="0" fontId="28" fillId="0" borderId="15" xfId="0" applyFont="1" applyBorder="1" applyAlignment="1">
      <alignment horizontal="justify" vertical="center" wrapText="1"/>
    </xf>
    <xf numFmtId="0" fontId="28" fillId="0" borderId="15" xfId="0" applyFont="1" applyBorder="1" applyAlignment="1">
      <alignment horizontal="center" vertical="center" wrapText="1"/>
    </xf>
    <xf numFmtId="0" fontId="28" fillId="0" borderId="15" xfId="0" applyNumberFormat="1" applyFont="1" applyFill="1" applyBorder="1" applyAlignment="1">
      <alignment horizontal="center" vertical="center" wrapText="1"/>
    </xf>
    <xf numFmtId="0" fontId="28" fillId="0" borderId="15" xfId="0" applyNumberFormat="1" applyFont="1" applyBorder="1" applyAlignment="1">
      <alignment horizontal="center" vertical="center" wrapText="1"/>
    </xf>
    <xf numFmtId="0" fontId="28" fillId="0" borderId="49" xfId="0" applyNumberFormat="1" applyFont="1" applyBorder="1" applyAlignment="1">
      <alignment horizontal="center" vertical="center" wrapText="1"/>
    </xf>
    <xf numFmtId="0" fontId="28" fillId="0" borderId="15" xfId="0" applyNumberFormat="1" applyFont="1" applyBorder="1" applyAlignment="1" applyProtection="1">
      <alignment horizontal="center" vertical="center"/>
      <protection locked="0"/>
    </xf>
    <xf numFmtId="0" fontId="28" fillId="0" borderId="35"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4" xfId="0" applyFont="1" applyBorder="1" applyAlignment="1">
      <alignment horizontal="justify" vertical="center" wrapText="1"/>
    </xf>
    <xf numFmtId="0" fontId="34" fillId="0" borderId="47" xfId="0" applyFont="1" applyBorder="1" applyAlignment="1">
      <alignment horizontal="justify" vertical="center" wrapText="1"/>
    </xf>
    <xf numFmtId="0" fontId="34" fillId="0" borderId="47" xfId="0" applyFont="1" applyBorder="1" applyAlignment="1">
      <alignment horizontal="left" vertical="center" wrapText="1"/>
    </xf>
    <xf numFmtId="0" fontId="35" fillId="19" borderId="33" xfId="0" applyFont="1" applyFill="1" applyBorder="1" applyAlignment="1">
      <alignment horizontal="justify" vertical="center" wrapText="1"/>
    </xf>
    <xf numFmtId="0" fontId="35" fillId="19" borderId="19" xfId="0" applyFont="1" applyFill="1" applyBorder="1" applyAlignment="1">
      <alignment horizontal="left" vertical="center" wrapText="1"/>
    </xf>
    <xf numFmtId="0" fontId="35" fillId="20" borderId="33" xfId="0" applyFont="1" applyFill="1" applyBorder="1" applyAlignment="1">
      <alignment horizontal="justify" vertical="center" wrapText="1"/>
    </xf>
    <xf numFmtId="0" fontId="35" fillId="20" borderId="19" xfId="0" applyFont="1" applyFill="1" applyBorder="1" applyAlignment="1">
      <alignment horizontal="justify" vertical="center" wrapText="1"/>
    </xf>
    <xf numFmtId="0" fontId="34" fillId="19" borderId="19" xfId="0" applyFont="1" applyFill="1" applyBorder="1" applyAlignment="1">
      <alignment horizontal="justify" vertical="center" wrapText="1"/>
    </xf>
    <xf numFmtId="0" fontId="1" fillId="8" borderId="0" xfId="0" applyFont="1" applyFill="1"/>
    <xf numFmtId="0" fontId="4" fillId="0" borderId="0" xfId="0" applyFont="1" applyBorder="1" applyAlignment="1">
      <alignment horizontal="center" vertical="center"/>
    </xf>
    <xf numFmtId="0" fontId="28" fillId="19" borderId="19" xfId="0" applyFont="1" applyFill="1" applyBorder="1" applyAlignment="1">
      <alignment horizontal="right" vertical="center" wrapText="1"/>
    </xf>
    <xf numFmtId="4" fontId="28" fillId="19" borderId="19" xfId="0" applyNumberFormat="1" applyFont="1" applyFill="1" applyBorder="1" applyAlignment="1">
      <alignment horizontal="right" vertical="center" wrapText="1"/>
    </xf>
    <xf numFmtId="0" fontId="29" fillId="19" borderId="19" xfId="0" applyFont="1" applyFill="1" applyBorder="1" applyAlignment="1">
      <alignment horizontal="right" vertical="center" wrapText="1"/>
    </xf>
    <xf numFmtId="0" fontId="28" fillId="20" borderId="19" xfId="0" applyFont="1" applyFill="1" applyBorder="1" applyAlignment="1">
      <alignment horizontal="right" vertical="center" wrapText="1"/>
    </xf>
    <xf numFmtId="4" fontId="28" fillId="20" borderId="19" xfId="0" applyNumberFormat="1" applyFont="1" applyFill="1" applyBorder="1" applyAlignment="1">
      <alignment horizontal="right" vertical="center" wrapText="1"/>
    </xf>
    <xf numFmtId="2" fontId="2" fillId="8" borderId="0" xfId="0" applyNumberFormat="1" applyFont="1" applyFill="1"/>
    <xf numFmtId="3" fontId="29" fillId="0" borderId="19" xfId="0" applyNumberFormat="1" applyFont="1" applyBorder="1" applyAlignment="1">
      <alignment horizontal="right" vertical="center" wrapText="1"/>
    </xf>
    <xf numFmtId="3" fontId="29" fillId="18" borderId="19" xfId="0" applyNumberFormat="1" applyFont="1" applyFill="1" applyBorder="1" applyAlignment="1">
      <alignment horizontal="right" vertical="center" wrapText="1"/>
    </xf>
    <xf numFmtId="3" fontId="28" fillId="19" borderId="19" xfId="0" applyNumberFormat="1" applyFont="1" applyFill="1" applyBorder="1" applyAlignment="1">
      <alignment horizontal="right" vertical="center" wrapText="1"/>
    </xf>
    <xf numFmtId="3" fontId="29" fillId="19" borderId="19" xfId="0" applyNumberFormat="1" applyFont="1" applyFill="1" applyBorder="1" applyAlignment="1">
      <alignment horizontal="right" vertical="center" wrapText="1"/>
    </xf>
    <xf numFmtId="4" fontId="29" fillId="19" borderId="19" xfId="0" applyNumberFormat="1" applyFont="1" applyFill="1" applyBorder="1" applyAlignment="1">
      <alignment horizontal="right" vertical="center" wrapText="1"/>
    </xf>
    <xf numFmtId="0" fontId="34" fillId="0" borderId="19" xfId="0" applyFont="1" applyBorder="1" applyAlignment="1">
      <alignment horizontal="justify" vertical="center" wrapText="1"/>
    </xf>
    <xf numFmtId="0" fontId="34" fillId="0" borderId="33" xfId="0" applyFont="1" applyBorder="1" applyAlignment="1">
      <alignment horizontal="center" vertical="center" wrapText="1"/>
    </xf>
    <xf numFmtId="0" fontId="36" fillId="0" borderId="19" xfId="0" applyFont="1" applyBorder="1" applyAlignment="1">
      <alignment horizontal="left" vertical="center" wrapText="1"/>
    </xf>
    <xf numFmtId="2" fontId="37" fillId="8" borderId="0" xfId="0" applyNumberFormat="1" applyFont="1" applyFill="1"/>
    <xf numFmtId="4" fontId="29" fillId="18" borderId="19" xfId="0" applyNumberFormat="1" applyFont="1" applyFill="1" applyBorder="1" applyAlignment="1">
      <alignment horizontal="right" vertical="center" wrapText="1"/>
    </xf>
    <xf numFmtId="0" fontId="38" fillId="0" borderId="19" xfId="0" applyFont="1" applyBorder="1" applyAlignment="1">
      <alignment horizontal="left" vertical="center" wrapText="1"/>
    </xf>
    <xf numFmtId="0" fontId="39" fillId="0" borderId="19" xfId="0" applyNumberFormat="1" applyFont="1" applyBorder="1" applyAlignment="1">
      <alignment horizontal="center" vertical="center" wrapText="1"/>
    </xf>
    <xf numFmtId="4" fontId="27" fillId="8" borderId="0" xfId="0" applyNumberFormat="1" applyFont="1" applyFill="1" applyAlignment="1"/>
    <xf numFmtId="3" fontId="27" fillId="8" borderId="0" xfId="0" applyNumberFormat="1" applyFont="1" applyFill="1" applyAlignment="1"/>
    <xf numFmtId="4" fontId="27" fillId="8" borderId="0" xfId="0" applyNumberFormat="1" applyFont="1" applyFill="1"/>
    <xf numFmtId="16" fontId="27" fillId="8" borderId="0" xfId="0" applyNumberFormat="1" applyFont="1" applyFill="1"/>
    <xf numFmtId="0" fontId="27" fillId="8" borderId="0" xfId="0" applyFont="1" applyFill="1"/>
    <xf numFmtId="4" fontId="41" fillId="8" borderId="0" xfId="0" applyNumberFormat="1" applyFont="1" applyFill="1"/>
    <xf numFmtId="0" fontId="35" fillId="0" borderId="19" xfId="0" applyFont="1" applyBorder="1" applyAlignment="1">
      <alignment horizontal="center" vertical="center" wrapText="1"/>
    </xf>
    <xf numFmtId="4" fontId="29" fillId="8" borderId="19" xfId="0" applyNumberFormat="1" applyFont="1" applyFill="1" applyBorder="1" applyAlignment="1">
      <alignment horizontal="right" vertical="center" wrapText="1"/>
    </xf>
    <xf numFmtId="171" fontId="6" fillId="8" borderId="0" xfId="0" applyNumberFormat="1" applyFont="1" applyFill="1" applyBorder="1"/>
    <xf numFmtId="172" fontId="0" fillId="8" borderId="0" xfId="0" applyNumberFormat="1" applyFont="1" applyFill="1"/>
    <xf numFmtId="4" fontId="40" fillId="18" borderId="19" xfId="0" applyNumberFormat="1" applyFont="1" applyFill="1" applyBorder="1" applyAlignment="1">
      <alignment horizontal="right" vertical="center" wrapText="1"/>
    </xf>
    <xf numFmtId="0" fontId="43" fillId="8" borderId="0" xfId="0" applyFont="1" applyFill="1" applyBorder="1"/>
    <xf numFmtId="3" fontId="43" fillId="8" borderId="0" xfId="0" applyNumberFormat="1" applyFont="1" applyFill="1" applyBorder="1" applyAlignment="1">
      <alignment vertical="center" wrapText="1"/>
    </xf>
    <xf numFmtId="3" fontId="43" fillId="8" borderId="0" xfId="0" applyNumberFormat="1" applyFont="1" applyFill="1" applyBorder="1" applyAlignment="1"/>
    <xf numFmtId="3" fontId="43" fillId="8" borderId="0" xfId="0" applyNumberFormat="1" applyFont="1" applyFill="1" applyBorder="1" applyAlignment="1">
      <alignment horizontal="right" vertical="center" wrapText="1"/>
    </xf>
    <xf numFmtId="3" fontId="43" fillId="8" borderId="0" xfId="0" applyNumberFormat="1" applyFont="1" applyFill="1" applyBorder="1"/>
    <xf numFmtId="4" fontId="6" fillId="8" borderId="0" xfId="0" applyNumberFormat="1" applyFont="1" applyFill="1" applyBorder="1"/>
    <xf numFmtId="3" fontId="32" fillId="2" borderId="51" xfId="0" applyNumberFormat="1" applyFont="1" applyFill="1" applyBorder="1" applyAlignment="1">
      <alignment horizontal="center" vertical="center" wrapText="1"/>
    </xf>
    <xf numFmtId="0" fontId="23" fillId="2" borderId="53" xfId="0" applyFont="1" applyFill="1" applyBorder="1" applyAlignment="1">
      <alignment horizontal="center" vertical="top" wrapText="1"/>
    </xf>
    <xf numFmtId="3" fontId="18" fillId="16" borderId="53" xfId="0" applyNumberFormat="1" applyFont="1" applyFill="1" applyBorder="1" applyAlignment="1">
      <alignment vertical="top" wrapText="1"/>
    </xf>
    <xf numFmtId="9" fontId="18" fillId="16" borderId="53" xfId="7" applyFont="1" applyFill="1" applyBorder="1" applyAlignment="1">
      <alignment vertical="top" wrapText="1"/>
    </xf>
    <xf numFmtId="9" fontId="18" fillId="16" borderId="53" xfId="0" applyNumberFormat="1" applyFont="1" applyFill="1" applyBorder="1" applyAlignment="1">
      <alignment vertical="top" wrapText="1"/>
    </xf>
    <xf numFmtId="4" fontId="3" fillId="2" borderId="53" xfId="0" applyNumberFormat="1" applyFont="1" applyFill="1" applyBorder="1" applyAlignment="1">
      <alignment vertical="center" wrapText="1"/>
    </xf>
    <xf numFmtId="0" fontId="48" fillId="8" borderId="0" xfId="0" applyFont="1" applyFill="1" applyBorder="1"/>
    <xf numFmtId="4" fontId="48" fillId="8" borderId="0" xfId="0" applyNumberFormat="1" applyFont="1" applyFill="1"/>
    <xf numFmtId="3" fontId="49" fillId="8" borderId="0" xfId="0" applyNumberFormat="1" applyFont="1" applyFill="1" applyBorder="1" applyAlignment="1">
      <alignment horizontal="center" vertical="center" wrapText="1"/>
    </xf>
    <xf numFmtId="3" fontId="48" fillId="8" borderId="0" xfId="0" applyNumberFormat="1" applyFont="1" applyFill="1" applyBorder="1" applyAlignment="1">
      <alignment vertical="center" wrapText="1"/>
    </xf>
    <xf numFmtId="3" fontId="48" fillId="8" borderId="0" xfId="0" applyNumberFormat="1" applyFont="1" applyFill="1" applyBorder="1" applyAlignment="1">
      <alignment horizontal="right" vertical="center" wrapText="1"/>
    </xf>
    <xf numFmtId="3" fontId="49" fillId="8" borderId="0" xfId="0" applyNumberFormat="1" applyFont="1" applyFill="1" applyBorder="1" applyAlignment="1">
      <alignment vertical="top" wrapText="1"/>
    </xf>
    <xf numFmtId="0" fontId="28" fillId="0" borderId="21" xfId="0" applyFont="1" applyBorder="1" applyAlignment="1">
      <alignment horizontal="center" vertical="center" wrapText="1"/>
    </xf>
    <xf numFmtId="4" fontId="29" fillId="0" borderId="19" xfId="0" applyNumberFormat="1" applyFont="1" applyFill="1" applyBorder="1" applyAlignment="1">
      <alignment horizontal="center" vertical="center" wrapText="1"/>
    </xf>
    <xf numFmtId="0" fontId="29" fillId="0" borderId="19" xfId="0" applyFont="1" applyFill="1" applyBorder="1" applyAlignment="1">
      <alignment horizontal="center" vertical="center" wrapText="1"/>
    </xf>
    <xf numFmtId="4" fontId="29" fillId="21" borderId="19" xfId="0" applyNumberFormat="1" applyFont="1" applyFill="1" applyBorder="1" applyAlignment="1">
      <alignment horizontal="right" vertical="center" wrapText="1"/>
    </xf>
    <xf numFmtId="4" fontId="28" fillId="21" borderId="19" xfId="0" applyNumberFormat="1" applyFont="1" applyFill="1" applyBorder="1" applyAlignment="1">
      <alignment horizontal="right" vertical="center" wrapText="1"/>
    </xf>
    <xf numFmtId="0" fontId="2" fillId="8" borderId="0" xfId="0" applyFont="1" applyFill="1" applyAlignment="1">
      <alignment horizontal="center" vertical="center" wrapText="1"/>
    </xf>
    <xf numFmtId="4" fontId="29" fillId="21" borderId="1" xfId="0" applyNumberFormat="1" applyFont="1" applyFill="1" applyBorder="1" applyAlignment="1">
      <alignment horizontal="right" vertical="center" wrapText="1"/>
    </xf>
    <xf numFmtId="3" fontId="23" fillId="2" borderId="53" xfId="0" applyNumberFormat="1" applyFont="1" applyFill="1" applyBorder="1" applyAlignment="1">
      <alignment horizontal="center" vertical="top" wrapText="1"/>
    </xf>
    <xf numFmtId="3" fontId="3" fillId="2" borderId="53" xfId="7" applyNumberFormat="1" applyFont="1" applyFill="1" applyBorder="1" applyAlignment="1">
      <alignment horizontal="center" vertical="center" wrapText="1"/>
    </xf>
    <xf numFmtId="3" fontId="23" fillId="15" borderId="53" xfId="7" applyNumberFormat="1" applyFont="1" applyFill="1" applyBorder="1" applyAlignment="1">
      <alignment horizontal="right" vertical="top" wrapText="1"/>
    </xf>
    <xf numFmtId="0" fontId="21" fillId="8" borderId="0" xfId="0" applyFont="1" applyFill="1" applyBorder="1" applyAlignment="1">
      <alignment horizontal="left" vertical="top" wrapText="1"/>
    </xf>
    <xf numFmtId="3" fontId="0" fillId="8" borderId="0" xfId="0" applyNumberFormat="1" applyFill="1" applyBorder="1" applyAlignment="1">
      <alignment horizontal="right"/>
    </xf>
    <xf numFmtId="3" fontId="22" fillId="8" borderId="0" xfId="0" applyNumberFormat="1" applyFont="1" applyFill="1" applyBorder="1" applyAlignment="1">
      <alignment horizontal="right"/>
    </xf>
    <xf numFmtId="4" fontId="29" fillId="0" borderId="19" xfId="0" applyNumberFormat="1" applyFont="1" applyFill="1" applyBorder="1" applyAlignment="1">
      <alignment horizontal="right" vertical="center" wrapText="1"/>
    </xf>
    <xf numFmtId="0" fontId="29" fillId="0" borderId="19" xfId="0" applyFont="1" applyFill="1" applyBorder="1" applyAlignment="1">
      <alignment horizontal="right" vertical="center" wrapText="1"/>
    </xf>
    <xf numFmtId="3" fontId="25" fillId="16" borderId="53" xfId="0" applyNumberFormat="1" applyFont="1" applyFill="1" applyBorder="1" applyAlignment="1">
      <alignment horizontal="left" vertical="top" wrapText="1"/>
    </xf>
    <xf numFmtId="3" fontId="18" fillId="16" borderId="53" xfId="7" applyNumberFormat="1" applyFont="1" applyFill="1" applyBorder="1" applyAlignment="1">
      <alignment horizontal="center" vertical="top" wrapText="1"/>
    </xf>
    <xf numFmtId="3" fontId="25" fillId="16" borderId="53" xfId="0" applyNumberFormat="1" applyFont="1" applyFill="1" applyBorder="1" applyAlignment="1">
      <alignment vertical="top" wrapText="1"/>
    </xf>
    <xf numFmtId="0" fontId="25" fillId="2" borderId="53" xfId="0" applyFont="1" applyFill="1" applyBorder="1" applyAlignment="1">
      <alignment horizontal="center" vertical="top" wrapText="1"/>
    </xf>
    <xf numFmtId="3" fontId="25" fillId="2" borderId="53" xfId="0" applyNumberFormat="1" applyFont="1" applyFill="1" applyBorder="1" applyAlignment="1">
      <alignment horizontal="center" vertical="top" wrapText="1"/>
    </xf>
    <xf numFmtId="3" fontId="32" fillId="2" borderId="54" xfId="0" applyNumberFormat="1" applyFont="1" applyFill="1" applyBorder="1" applyAlignment="1">
      <alignment horizontal="center" vertical="center" wrapText="1"/>
    </xf>
    <xf numFmtId="0" fontId="23" fillId="2" borderId="55" xfId="0" applyFont="1" applyFill="1" applyBorder="1" applyAlignment="1">
      <alignment horizontal="center" vertical="top" wrapText="1"/>
    </xf>
    <xf numFmtId="9" fontId="3" fillId="2" borderId="55" xfId="0" applyNumberFormat="1" applyFont="1" applyFill="1" applyBorder="1" applyAlignment="1">
      <alignment horizontal="center" vertical="center" wrapText="1"/>
    </xf>
    <xf numFmtId="9" fontId="23" fillId="15" borderId="55" xfId="0" applyNumberFormat="1" applyFont="1" applyFill="1" applyBorder="1" applyAlignment="1">
      <alignment horizontal="right" vertical="top" wrapText="1"/>
    </xf>
    <xf numFmtId="3" fontId="50" fillId="16" borderId="52" xfId="0" applyNumberFormat="1" applyFont="1" applyFill="1" applyBorder="1" applyAlignment="1">
      <alignment horizontal="left" vertical="top" wrapText="1"/>
    </xf>
    <xf numFmtId="4" fontId="3" fillId="2" borderId="55" xfId="7" applyNumberFormat="1" applyFont="1" applyFill="1" applyBorder="1" applyAlignment="1">
      <alignment horizontal="center" vertical="center" wrapText="1"/>
    </xf>
    <xf numFmtId="3" fontId="1" fillId="8" borderId="0" xfId="0" applyNumberFormat="1" applyFont="1" applyFill="1" applyBorder="1" applyAlignment="1">
      <alignment wrapText="1"/>
    </xf>
    <xf numFmtId="3" fontId="24" fillId="8" borderId="0" xfId="0" applyNumberFormat="1" applyFont="1" applyFill="1" applyBorder="1" applyAlignment="1">
      <alignment wrapText="1"/>
    </xf>
    <xf numFmtId="3" fontId="24" fillId="8" borderId="0" xfId="0" applyNumberFormat="1" applyFont="1" applyFill="1" applyBorder="1" applyAlignment="1">
      <alignment horizontal="center" wrapText="1"/>
    </xf>
    <xf numFmtId="9" fontId="1" fillId="8" borderId="0" xfId="7" applyFont="1" applyFill="1" applyBorder="1" applyAlignment="1">
      <alignment wrapText="1"/>
    </xf>
    <xf numFmtId="3" fontId="23" fillId="8" borderId="0" xfId="0" applyNumberFormat="1" applyFont="1" applyFill="1" applyBorder="1" applyAlignment="1">
      <alignment wrapText="1"/>
    </xf>
    <xf numFmtId="0" fontId="47" fillId="8" borderId="0" xfId="0" applyFont="1" applyFill="1" applyBorder="1" applyAlignment="1">
      <alignment vertical="top" wrapText="1"/>
    </xf>
    <xf numFmtId="3" fontId="18" fillId="16" borderId="57" xfId="0" applyNumberFormat="1" applyFont="1" applyFill="1" applyBorder="1" applyAlignment="1">
      <alignment vertical="top" wrapText="1"/>
    </xf>
    <xf numFmtId="9" fontId="18" fillId="16" borderId="57" xfId="0" applyNumberFormat="1" applyFont="1" applyFill="1" applyBorder="1" applyAlignment="1">
      <alignment vertical="top" wrapText="1"/>
    </xf>
    <xf numFmtId="9" fontId="3" fillId="2" borderId="58" xfId="0" applyNumberFormat="1" applyFont="1" applyFill="1" applyBorder="1" applyAlignment="1">
      <alignment horizontal="center" vertical="center" wrapText="1"/>
    </xf>
    <xf numFmtId="3" fontId="23" fillId="15" borderId="1" xfId="7" applyNumberFormat="1" applyFont="1" applyFill="1" applyBorder="1" applyAlignment="1">
      <alignment horizontal="right" vertical="top" wrapText="1"/>
    </xf>
    <xf numFmtId="9" fontId="23" fillId="15" borderId="1" xfId="0" applyNumberFormat="1" applyFont="1" applyFill="1" applyBorder="1" applyAlignment="1">
      <alignment horizontal="right" vertical="top" wrapText="1"/>
    </xf>
    <xf numFmtId="4" fontId="3" fillId="8" borderId="1" xfId="11" applyNumberFormat="1" applyFont="1" applyFill="1" applyBorder="1" applyAlignment="1">
      <alignment wrapText="1"/>
    </xf>
    <xf numFmtId="3" fontId="18" fillId="16" borderId="53" xfId="0" applyNumberFormat="1" applyFont="1" applyFill="1" applyBorder="1" applyAlignment="1">
      <alignment horizontal="center" vertical="top" wrapText="1"/>
    </xf>
    <xf numFmtId="3" fontId="50" fillId="16" borderId="52" xfId="0" applyNumberFormat="1" applyFont="1" applyFill="1" applyBorder="1" applyAlignment="1">
      <alignment vertical="top" wrapText="1"/>
    </xf>
    <xf numFmtId="3" fontId="18" fillId="15" borderId="53" xfId="0" applyNumberFormat="1" applyFont="1" applyFill="1" applyBorder="1" applyAlignment="1">
      <alignment horizontal="center" vertical="top" wrapText="1"/>
    </xf>
    <xf numFmtId="4" fontId="18" fillId="15" borderId="53" xfId="0" applyNumberFormat="1" applyFont="1" applyFill="1" applyBorder="1" applyAlignment="1">
      <alignment horizontal="center" vertical="top" wrapText="1"/>
    </xf>
    <xf numFmtId="3" fontId="18" fillId="15" borderId="1" xfId="0" applyNumberFormat="1" applyFont="1" applyFill="1" applyBorder="1" applyAlignment="1">
      <alignment horizontal="center" vertical="top" wrapText="1"/>
    </xf>
    <xf numFmtId="3" fontId="25" fillId="15" borderId="53" xfId="0" applyNumberFormat="1" applyFont="1" applyFill="1" applyBorder="1" applyAlignment="1">
      <alignment horizontal="left" vertical="top" wrapText="1"/>
    </xf>
    <xf numFmtId="3" fontId="25" fillId="15" borderId="1" xfId="0" applyNumberFormat="1" applyFont="1" applyFill="1" applyBorder="1" applyAlignment="1">
      <alignment horizontal="left" vertical="top" wrapText="1"/>
    </xf>
    <xf numFmtId="4" fontId="28" fillId="0" borderId="0" xfId="0" applyNumberFormat="1" applyFont="1" applyFill="1" applyAlignment="1">
      <alignment horizontal="center" vertical="center" wrapText="1"/>
    </xf>
    <xf numFmtId="4" fontId="23" fillId="15" borderId="53" xfId="0" applyNumberFormat="1" applyFont="1" applyFill="1" applyBorder="1" applyAlignment="1">
      <alignment vertical="top" wrapText="1"/>
    </xf>
    <xf numFmtId="4" fontId="23" fillId="15" borderId="53" xfId="7" applyNumberFormat="1" applyFont="1" applyFill="1" applyBorder="1" applyAlignment="1">
      <alignment vertical="top" wrapText="1"/>
    </xf>
    <xf numFmtId="4" fontId="3" fillId="2" borderId="53" xfId="7" applyNumberFormat="1" applyFont="1" applyFill="1" applyBorder="1" applyAlignment="1">
      <alignment vertical="center" wrapText="1"/>
    </xf>
    <xf numFmtId="4" fontId="3" fillId="2" borderId="57" xfId="7" applyNumberFormat="1" applyFont="1" applyFill="1" applyBorder="1" applyAlignment="1">
      <alignment vertical="center" wrapText="1"/>
    </xf>
    <xf numFmtId="4" fontId="23" fillId="15" borderId="1" xfId="7" applyNumberFormat="1" applyFont="1" applyFill="1" applyBorder="1" applyAlignment="1">
      <alignment vertical="top" wrapText="1"/>
    </xf>
    <xf numFmtId="3" fontId="39" fillId="2" borderId="50" xfId="0" applyNumberFormat="1" applyFont="1" applyFill="1" applyBorder="1" applyAlignment="1">
      <alignment horizontal="center" vertical="center" wrapText="1"/>
    </xf>
    <xf numFmtId="3" fontId="39" fillId="2" borderId="51" xfId="0" applyNumberFormat="1" applyFont="1" applyFill="1" applyBorder="1" applyAlignment="1">
      <alignment horizontal="center" vertical="center" wrapText="1"/>
    </xf>
    <xf numFmtId="3" fontId="52" fillId="2" borderId="51" xfId="0" applyNumberFormat="1" applyFont="1" applyFill="1" applyBorder="1" applyAlignment="1">
      <alignment horizontal="center" vertical="center" wrapText="1"/>
    </xf>
    <xf numFmtId="0" fontId="25" fillId="2" borderId="52" xfId="0" applyFont="1" applyFill="1" applyBorder="1" applyAlignment="1">
      <alignment horizontal="center" vertical="top" wrapText="1"/>
    </xf>
    <xf numFmtId="3" fontId="50" fillId="15" borderId="52" xfId="0" applyNumberFormat="1" applyFont="1" applyFill="1" applyBorder="1" applyAlignment="1">
      <alignment horizontal="left" vertical="top" wrapText="1"/>
    </xf>
    <xf numFmtId="3" fontId="18" fillId="15" borderId="53" xfId="0" applyNumberFormat="1" applyFont="1" applyFill="1" applyBorder="1" applyAlignment="1">
      <alignment vertical="top" wrapText="1"/>
    </xf>
    <xf numFmtId="3" fontId="25" fillId="15" borderId="53" xfId="0" applyNumberFormat="1" applyFont="1" applyFill="1" applyBorder="1" applyAlignment="1">
      <alignment vertical="top" wrapText="1"/>
    </xf>
    <xf numFmtId="3" fontId="50" fillId="15" borderId="53" xfId="0" applyNumberFormat="1" applyFont="1" applyFill="1" applyBorder="1" applyAlignment="1">
      <alignment horizontal="left" vertical="top" wrapText="1"/>
    </xf>
    <xf numFmtId="3" fontId="18" fillId="16" borderId="53" xfId="0" applyNumberFormat="1" applyFont="1" applyFill="1" applyBorder="1" applyAlignment="1">
      <alignment horizontal="left" vertical="top" wrapText="1"/>
    </xf>
    <xf numFmtId="3" fontId="25" fillId="15" borderId="53" xfId="0" applyNumberFormat="1" applyFont="1" applyFill="1" applyBorder="1" applyAlignment="1">
      <alignment horizontal="right" vertical="top" wrapText="1"/>
    </xf>
    <xf numFmtId="3" fontId="50" fillId="16" borderId="56" xfId="0" applyNumberFormat="1" applyFont="1" applyFill="1" applyBorder="1" applyAlignment="1">
      <alignment vertical="top" wrapText="1"/>
    </xf>
    <xf numFmtId="3" fontId="25" fillId="16" borderId="57" xfId="0" applyNumberFormat="1" applyFont="1" applyFill="1" applyBorder="1" applyAlignment="1">
      <alignment horizontal="left" vertical="top" wrapText="1"/>
    </xf>
    <xf numFmtId="3" fontId="18" fillId="16" borderId="57" xfId="0" applyNumberFormat="1" applyFont="1" applyFill="1" applyBorder="1" applyAlignment="1">
      <alignment horizontal="center" vertical="top" wrapText="1"/>
    </xf>
    <xf numFmtId="3" fontId="50" fillId="15" borderId="1" xfId="0" applyNumberFormat="1" applyFont="1" applyFill="1" applyBorder="1" applyAlignment="1">
      <alignment horizontal="left" vertical="top" wrapText="1"/>
    </xf>
    <xf numFmtId="3" fontId="18" fillId="15" borderId="1" xfId="0" applyNumberFormat="1" applyFont="1" applyFill="1" applyBorder="1" applyAlignment="1">
      <alignment vertical="top" wrapText="1"/>
    </xf>
    <xf numFmtId="3" fontId="25" fillId="15" borderId="1" xfId="0" applyNumberFormat="1" applyFont="1" applyFill="1" applyBorder="1" applyAlignment="1">
      <alignment vertical="top" wrapText="1"/>
    </xf>
    <xf numFmtId="0" fontId="2" fillId="8" borderId="0" xfId="0" applyFont="1" applyFill="1" applyBorder="1"/>
    <xf numFmtId="4" fontId="44" fillId="8" borderId="0" xfId="0" applyNumberFormat="1" applyFont="1" applyFill="1" applyBorder="1"/>
    <xf numFmtId="1" fontId="2" fillId="8" borderId="0" xfId="0" applyNumberFormat="1" applyFont="1" applyFill="1" applyBorder="1"/>
    <xf numFmtId="0" fontId="14" fillId="8" borderId="0" xfId="0" applyFont="1" applyFill="1" applyBorder="1"/>
    <xf numFmtId="4" fontId="42" fillId="8" borderId="0" xfId="0" applyNumberFormat="1" applyFont="1" applyFill="1" applyBorder="1"/>
    <xf numFmtId="0" fontId="15" fillId="8" borderId="0" xfId="0" applyFont="1" applyFill="1" applyBorder="1"/>
    <xf numFmtId="0" fontId="13" fillId="8" borderId="0" xfId="0" applyFont="1" applyFill="1" applyBorder="1"/>
    <xf numFmtId="0" fontId="12" fillId="8" borderId="0" xfId="0" applyFont="1" applyFill="1" applyBorder="1"/>
    <xf numFmtId="4" fontId="51" fillId="0" borderId="53" xfId="7" applyNumberFormat="1" applyFont="1" applyFill="1" applyBorder="1" applyAlignment="1">
      <alignment vertical="center" wrapText="1"/>
    </xf>
    <xf numFmtId="4" fontId="51" fillId="0" borderId="57" xfId="7" applyNumberFormat="1" applyFont="1" applyFill="1" applyBorder="1" applyAlignment="1">
      <alignment vertical="center" wrapText="1"/>
    </xf>
    <xf numFmtId="4" fontId="48" fillId="8" borderId="0" xfId="0" applyNumberFormat="1" applyFont="1" applyFill="1" applyBorder="1"/>
    <xf numFmtId="0" fontId="26" fillId="8" borderId="0" xfId="0" applyFont="1" applyFill="1" applyBorder="1" applyAlignment="1">
      <alignment vertical="center" wrapText="1"/>
    </xf>
    <xf numFmtId="0" fontId="20" fillId="8" borderId="0" xfId="0" applyFont="1" applyFill="1" applyBorder="1" applyAlignment="1">
      <alignment vertical="center" wrapText="1"/>
    </xf>
    <xf numFmtId="0" fontId="20" fillId="8" borderId="0" xfId="0" applyFont="1" applyFill="1" applyBorder="1" applyAlignment="1">
      <alignment horizontal="justify" vertical="center" wrapText="1"/>
    </xf>
    <xf numFmtId="0" fontId="20" fillId="8" borderId="0" xfId="0" applyFont="1" applyFill="1" applyBorder="1" applyAlignment="1">
      <alignment horizontal="center" vertical="center" wrapText="1"/>
    </xf>
    <xf numFmtId="0" fontId="2" fillId="8" borderId="0" xfId="0" applyFont="1" applyFill="1" applyBorder="1" applyAlignment="1">
      <alignment horizontal="justify" vertical="center" wrapText="1"/>
    </xf>
    <xf numFmtId="0" fontId="2" fillId="8" borderId="0" xfId="0" applyFont="1" applyFill="1" applyBorder="1" applyAlignment="1">
      <alignment horizontal="center" vertical="center" wrapText="1"/>
    </xf>
    <xf numFmtId="4" fontId="14" fillId="8" borderId="0" xfId="0" applyNumberFormat="1" applyFont="1" applyFill="1" applyBorder="1"/>
    <xf numFmtId="0" fontId="45" fillId="8" borderId="0" xfId="0" applyFont="1" applyFill="1" applyBorder="1" applyAlignment="1">
      <alignment vertical="center" wrapText="1"/>
    </xf>
    <xf numFmtId="0" fontId="46" fillId="8" borderId="0" xfId="0" applyFont="1" applyFill="1" applyBorder="1" applyAlignment="1">
      <alignment vertical="top" wrapText="1"/>
    </xf>
    <xf numFmtId="0" fontId="24" fillId="8" borderId="0" xfId="0" applyFont="1" applyFill="1" applyBorder="1" applyAlignment="1">
      <alignment vertical="top" wrapText="1"/>
    </xf>
    <xf numFmtId="0" fontId="1" fillId="8" borderId="0" xfId="0" applyFont="1" applyFill="1" applyBorder="1" applyAlignment="1">
      <alignment vertical="top" wrapText="1"/>
    </xf>
    <xf numFmtId="4" fontId="51" fillId="8" borderId="0" xfId="7" applyNumberFormat="1" applyFont="1" applyFill="1" applyBorder="1" applyAlignment="1">
      <alignment vertical="center" wrapText="1"/>
    </xf>
    <xf numFmtId="3" fontId="32" fillId="2" borderId="53" xfId="0" applyNumberFormat="1" applyFont="1" applyFill="1" applyBorder="1" applyAlignment="1">
      <alignment horizontal="center" vertical="center" wrapText="1"/>
    </xf>
    <xf numFmtId="0" fontId="53" fillId="8" borderId="0" xfId="0" applyFont="1" applyFill="1" applyBorder="1" applyAlignment="1">
      <alignment vertical="top" wrapText="1"/>
    </xf>
    <xf numFmtId="0" fontId="18" fillId="8" borderId="0" xfId="0" applyFont="1" applyFill="1" applyBorder="1" applyAlignment="1">
      <alignment vertical="top" wrapText="1"/>
    </xf>
    <xf numFmtId="3" fontId="18" fillId="8" borderId="0" xfId="0" applyNumberFormat="1" applyFont="1" applyFill="1" applyBorder="1" applyAlignment="1">
      <alignment wrapText="1"/>
    </xf>
    <xf numFmtId="4" fontId="2" fillId="8" borderId="0" xfId="0" applyNumberFormat="1" applyFont="1" applyFill="1"/>
    <xf numFmtId="0" fontId="54" fillId="8" borderId="0" xfId="0" applyFont="1" applyFill="1"/>
    <xf numFmtId="3" fontId="50" fillId="2" borderId="53" xfId="7" applyNumberFormat="1" applyFont="1" applyFill="1" applyBorder="1" applyAlignment="1">
      <alignment horizontal="center" vertical="center" wrapText="1"/>
    </xf>
    <xf numFmtId="4" fontId="25" fillId="15" borderId="53" xfId="7" applyNumberFormat="1" applyFont="1" applyFill="1" applyBorder="1" applyAlignment="1">
      <alignment vertical="top" wrapText="1"/>
    </xf>
    <xf numFmtId="9" fontId="25" fillId="15" borderId="55" xfId="0" applyNumberFormat="1" applyFont="1" applyFill="1" applyBorder="1" applyAlignment="1">
      <alignment horizontal="right" vertical="top" wrapText="1"/>
    </xf>
    <xf numFmtId="4" fontId="50" fillId="0" borderId="53" xfId="7" applyNumberFormat="1" applyFont="1" applyFill="1" applyBorder="1" applyAlignment="1">
      <alignment vertical="center" wrapText="1"/>
    </xf>
    <xf numFmtId="4" fontId="19" fillId="10" borderId="1" xfId="0" applyNumberFormat="1" applyFont="1" applyFill="1" applyBorder="1" applyAlignment="1">
      <alignment vertical="distributed"/>
    </xf>
    <xf numFmtId="4" fontId="20" fillId="17" borderId="1" xfId="0" applyNumberFormat="1" applyFont="1" applyFill="1" applyBorder="1" applyAlignment="1">
      <alignment vertical="distributed"/>
    </xf>
    <xf numFmtId="3" fontId="18" fillId="8" borderId="0" xfId="0" applyNumberFormat="1" applyFont="1" applyFill="1" applyBorder="1" applyAlignment="1">
      <alignment horizontal="center" wrapText="1"/>
    </xf>
    <xf numFmtId="9" fontId="18" fillId="8" borderId="0" xfId="7" applyFont="1" applyFill="1" applyBorder="1" applyAlignment="1">
      <alignment wrapText="1"/>
    </xf>
    <xf numFmtId="3" fontId="25" fillId="8" borderId="0" xfId="0" applyNumberFormat="1" applyFont="1" applyFill="1" applyBorder="1" applyAlignment="1">
      <alignment wrapText="1"/>
    </xf>
    <xf numFmtId="4" fontId="18" fillId="15" borderId="53" xfId="0" applyNumberFormat="1" applyFont="1" applyFill="1" applyBorder="1" applyAlignment="1">
      <alignment vertical="top" wrapText="1"/>
    </xf>
    <xf numFmtId="173" fontId="29" fillId="0" borderId="19" xfId="0" applyNumberFormat="1" applyFont="1" applyBorder="1" applyAlignment="1">
      <alignment horizontal="center" vertical="center" wrapText="1"/>
    </xf>
    <xf numFmtId="173" fontId="29" fillId="0" borderId="19" xfId="7" applyNumberFormat="1" applyFont="1" applyBorder="1" applyAlignment="1">
      <alignment horizontal="center" vertical="center" wrapText="1"/>
    </xf>
    <xf numFmtId="3" fontId="24" fillId="15" borderId="1" xfId="0" applyNumberFormat="1" applyFont="1" applyFill="1" applyBorder="1" applyAlignment="1">
      <alignment horizontal="center" vertical="center" wrapText="1"/>
    </xf>
    <xf numFmtId="3" fontId="56" fillId="10" borderId="1" xfId="0" applyNumberFormat="1" applyFont="1" applyFill="1" applyBorder="1" applyAlignment="1">
      <alignment vertical="distributed"/>
    </xf>
    <xf numFmtId="3" fontId="55" fillId="8" borderId="0" xfId="0" applyNumberFormat="1" applyFont="1" applyFill="1" applyBorder="1" applyAlignment="1">
      <alignment horizontal="right"/>
    </xf>
    <xf numFmtId="3" fontId="57" fillId="8" borderId="0" xfId="0" applyNumberFormat="1" applyFont="1" applyFill="1" applyBorder="1" applyAlignment="1">
      <alignment horizontal="right"/>
    </xf>
    <xf numFmtId="3" fontId="57" fillId="8" borderId="0" xfId="0" applyNumberFormat="1" applyFont="1" applyFill="1" applyAlignment="1">
      <alignment horizontal="right"/>
    </xf>
    <xf numFmtId="3" fontId="55" fillId="8" borderId="0" xfId="0" applyNumberFormat="1" applyFont="1" applyFill="1" applyAlignment="1">
      <alignment horizontal="right"/>
    </xf>
    <xf numFmtId="4" fontId="19" fillId="7" borderId="1" xfId="0" applyNumberFormat="1" applyFont="1" applyFill="1" applyBorder="1" applyAlignment="1">
      <alignment vertical="distributed"/>
    </xf>
    <xf numFmtId="3" fontId="3" fillId="16" borderId="52" xfId="0" applyNumberFormat="1" applyFont="1" applyFill="1" applyBorder="1" applyAlignment="1">
      <alignment vertical="top" wrapText="1"/>
    </xf>
    <xf numFmtId="3" fontId="23" fillId="16" borderId="53" xfId="0" applyNumberFormat="1" applyFont="1" applyFill="1" applyBorder="1" applyAlignment="1">
      <alignment horizontal="left" vertical="top" wrapText="1"/>
    </xf>
    <xf numFmtId="3" fontId="1" fillId="16" borderId="53" xfId="7" applyNumberFormat="1" applyFont="1" applyFill="1" applyBorder="1" applyAlignment="1">
      <alignment horizontal="center" vertical="top" wrapText="1"/>
    </xf>
    <xf numFmtId="3" fontId="1" fillId="16" borderId="53" xfId="0" applyNumberFormat="1" applyFont="1" applyFill="1" applyBorder="1" applyAlignment="1">
      <alignment vertical="top" wrapText="1"/>
    </xf>
    <xf numFmtId="9" fontId="1" fillId="16" borderId="53" xfId="7" applyFont="1" applyFill="1" applyBorder="1" applyAlignment="1">
      <alignment vertical="top" wrapText="1"/>
    </xf>
    <xf numFmtId="3" fontId="23" fillId="16" borderId="53" xfId="0" applyNumberFormat="1" applyFont="1" applyFill="1" applyBorder="1" applyAlignment="1">
      <alignment vertical="top" wrapText="1"/>
    </xf>
    <xf numFmtId="4" fontId="3" fillId="0" borderId="53" xfId="7" applyNumberFormat="1" applyFont="1" applyFill="1" applyBorder="1" applyAlignment="1">
      <alignment vertical="center" wrapText="1"/>
    </xf>
    <xf numFmtId="3" fontId="3" fillId="16" borderId="52" xfId="0" applyNumberFormat="1" applyFont="1" applyFill="1" applyBorder="1" applyAlignment="1">
      <alignment horizontal="left" vertical="top" wrapText="1"/>
    </xf>
    <xf numFmtId="3" fontId="1" fillId="16" borderId="53" xfId="0" applyNumberFormat="1" applyFont="1" applyFill="1" applyBorder="1" applyAlignment="1">
      <alignment horizontal="left" vertical="top" wrapText="1"/>
    </xf>
    <xf numFmtId="4" fontId="3" fillId="8" borderId="53" xfId="7" applyNumberFormat="1" applyFont="1" applyFill="1" applyBorder="1" applyAlignment="1">
      <alignment vertical="center" wrapText="1"/>
    </xf>
    <xf numFmtId="9" fontId="3" fillId="16" borderId="53" xfId="7" applyFont="1" applyFill="1" applyBorder="1" applyAlignment="1">
      <alignment vertical="top" wrapText="1"/>
    </xf>
    <xf numFmtId="3" fontId="1" fillId="16" borderId="53" xfId="0" applyNumberFormat="1" applyFont="1" applyFill="1" applyBorder="1" applyAlignment="1">
      <alignment horizontal="center" vertical="top" wrapText="1"/>
    </xf>
    <xf numFmtId="9" fontId="1" fillId="16" borderId="53" xfId="0" applyNumberFormat="1" applyFont="1" applyFill="1" applyBorder="1" applyAlignment="1">
      <alignment vertical="top" wrapText="1"/>
    </xf>
    <xf numFmtId="4" fontId="1" fillId="16" borderId="53" xfId="7" applyNumberFormat="1" applyFont="1" applyFill="1" applyBorder="1" applyAlignment="1">
      <alignment horizontal="center" vertical="top" wrapText="1"/>
    </xf>
    <xf numFmtId="3" fontId="3" fillId="15" borderId="52" xfId="0" applyNumberFormat="1" applyFont="1" applyFill="1" applyBorder="1" applyAlignment="1">
      <alignment horizontal="left" vertical="top" wrapText="1"/>
    </xf>
    <xf numFmtId="3" fontId="23" fillId="15" borderId="53" xfId="0" applyNumberFormat="1" applyFont="1" applyFill="1" applyBorder="1" applyAlignment="1">
      <alignment horizontal="left" vertical="top" wrapText="1"/>
    </xf>
    <xf numFmtId="3" fontId="1" fillId="15" borderId="53" xfId="0" applyNumberFormat="1" applyFont="1" applyFill="1" applyBorder="1" applyAlignment="1">
      <alignment horizontal="center" vertical="top" wrapText="1"/>
    </xf>
    <xf numFmtId="3" fontId="1" fillId="15" borderId="53" xfId="0" applyNumberFormat="1" applyFont="1" applyFill="1" applyBorder="1" applyAlignment="1">
      <alignment vertical="top" wrapText="1"/>
    </xf>
    <xf numFmtId="3" fontId="23" fillId="15" borderId="53" xfId="0" applyNumberFormat="1" applyFont="1" applyFill="1" applyBorder="1" applyAlignment="1">
      <alignment vertical="top" wrapText="1"/>
    </xf>
    <xf numFmtId="3" fontId="3" fillId="15" borderId="53" xfId="0" applyNumberFormat="1" applyFont="1" applyFill="1" applyBorder="1" applyAlignment="1">
      <alignment horizontal="left" vertical="top" wrapText="1"/>
    </xf>
    <xf numFmtId="3" fontId="23" fillId="16" borderId="53" xfId="0" applyNumberFormat="1" applyFont="1" applyFill="1" applyBorder="1" applyAlignment="1">
      <alignment horizontal="center" vertical="top" wrapText="1"/>
    </xf>
    <xf numFmtId="0" fontId="1" fillId="16" borderId="53" xfId="0" applyFont="1" applyFill="1" applyBorder="1" applyAlignment="1">
      <alignment vertical="top" wrapText="1"/>
    </xf>
    <xf numFmtId="0" fontId="58" fillId="8" borderId="0" xfId="0" applyFont="1" applyFill="1" applyBorder="1" applyAlignment="1">
      <alignment vertical="top" wrapText="1"/>
    </xf>
    <xf numFmtId="3" fontId="32" fillId="8" borderId="51" xfId="0" applyNumberFormat="1" applyFont="1" applyFill="1" applyBorder="1" applyAlignment="1">
      <alignment horizontal="center" vertical="center" wrapText="1"/>
    </xf>
    <xf numFmtId="0" fontId="23" fillId="8" borderId="53" xfId="0" applyFont="1" applyFill="1" applyBorder="1" applyAlignment="1">
      <alignment horizontal="center" vertical="top" wrapText="1"/>
    </xf>
    <xf numFmtId="4" fontId="51" fillId="0" borderId="1" xfId="7" applyNumberFormat="1" applyFont="1" applyFill="1" applyBorder="1" applyAlignment="1">
      <alignment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38" xfId="0" applyFont="1" applyBorder="1" applyAlignment="1">
      <alignment horizontal="center" vertical="center"/>
    </xf>
    <xf numFmtId="0" fontId="2" fillId="21" borderId="0" xfId="0" applyFont="1" applyFill="1" applyAlignment="1">
      <alignment horizontal="center" vertical="top"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3" xfId="0" applyFont="1" applyBorder="1" applyAlignment="1">
      <alignment horizontal="justify" vertical="center" wrapText="1"/>
    </xf>
    <xf numFmtId="0" fontId="28" fillId="0" borderId="38" xfId="0" applyFont="1" applyBorder="1" applyAlignment="1">
      <alignment horizontal="justify" vertical="center" wrapText="1"/>
    </xf>
    <xf numFmtId="0" fontId="28" fillId="0" borderId="45" xfId="0" applyFont="1" applyBorder="1" applyAlignment="1">
      <alignment horizontal="justify" vertical="center" wrapText="1"/>
    </xf>
    <xf numFmtId="0" fontId="28" fillId="0" borderId="46" xfId="0" applyFont="1" applyBorder="1" applyAlignment="1">
      <alignment horizontal="justify" vertical="center" wrapText="1"/>
    </xf>
    <xf numFmtId="0" fontId="28" fillId="0" borderId="35" xfId="0" applyFont="1" applyBorder="1" applyAlignment="1">
      <alignment horizontal="justify" vertical="center" wrapText="1"/>
    </xf>
    <xf numFmtId="0" fontId="0" fillId="0" borderId="34" xfId="0" applyBorder="1" applyAlignment="1">
      <alignment vertical="center" wrapText="1"/>
    </xf>
    <xf numFmtId="0" fontId="0" fillId="0" borderId="33" xfId="0" applyBorder="1" applyAlignment="1">
      <alignment vertical="center" wrapText="1"/>
    </xf>
    <xf numFmtId="0" fontId="28" fillId="0" borderId="32" xfId="0" applyFont="1" applyBorder="1" applyAlignment="1">
      <alignment horizontal="justify" vertical="center" wrapText="1"/>
    </xf>
    <xf numFmtId="0" fontId="28" fillId="0" borderId="42"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39" xfId="0" applyFont="1" applyBorder="1" applyAlignment="1">
      <alignment horizontal="justify" vertical="center" wrapText="1"/>
    </xf>
    <xf numFmtId="0" fontId="28" fillId="0" borderId="40" xfId="0" applyFont="1" applyBorder="1" applyAlignment="1">
      <alignment horizontal="justify" vertical="center" wrapText="1"/>
    </xf>
    <xf numFmtId="0" fontId="28" fillId="0" borderId="41" xfId="0" applyFont="1" applyBorder="1" applyAlignment="1">
      <alignment horizontal="justify" vertical="center" wrapText="1"/>
    </xf>
    <xf numFmtId="0" fontId="28" fillId="0" borderId="43" xfId="0" applyFont="1" applyBorder="1" applyAlignment="1">
      <alignment horizontal="justify" vertical="center" wrapText="1"/>
    </xf>
    <xf numFmtId="0" fontId="28" fillId="0" borderId="44" xfId="0" applyFont="1" applyBorder="1" applyAlignment="1">
      <alignment horizontal="justify" vertical="center" wrapText="1"/>
    </xf>
    <xf numFmtId="0" fontId="7" fillId="6" borderId="20" xfId="2" applyFont="1" applyFill="1" applyBorder="1" applyAlignment="1">
      <alignment horizontal="center" vertical="top" wrapText="1"/>
    </xf>
    <xf numFmtId="0" fontId="7" fillId="6" borderId="0" xfId="2" applyFont="1" applyFill="1" applyBorder="1" applyAlignment="1">
      <alignment horizontal="center" vertical="top" wrapText="1"/>
    </xf>
    <xf numFmtId="0" fontId="7" fillId="6" borderId="21" xfId="2" applyFont="1" applyFill="1" applyBorder="1" applyAlignment="1">
      <alignment horizontal="center" vertical="top" wrapText="1"/>
    </xf>
    <xf numFmtId="0" fontId="7" fillId="3" borderId="13" xfId="2" applyFont="1" applyFill="1" applyBorder="1" applyAlignment="1">
      <alignment horizontal="center" wrapText="1"/>
    </xf>
    <xf numFmtId="0" fontId="7" fillId="3" borderId="14" xfId="2" applyFont="1" applyFill="1" applyBorder="1" applyAlignment="1">
      <alignment horizontal="center" wrapText="1"/>
    </xf>
    <xf numFmtId="0" fontId="7" fillId="3" borderId="15" xfId="2" applyFont="1" applyFill="1" applyBorder="1" applyAlignment="1">
      <alignment horizontal="center" wrapText="1"/>
    </xf>
    <xf numFmtId="0" fontId="7" fillId="4" borderId="13" xfId="2" applyFont="1" applyFill="1" applyBorder="1" applyAlignment="1">
      <alignment horizontal="center"/>
    </xf>
    <xf numFmtId="0" fontId="7" fillId="4" borderId="14" xfId="2" applyFont="1" applyFill="1" applyBorder="1" applyAlignment="1">
      <alignment horizontal="center"/>
    </xf>
    <xf numFmtId="0" fontId="7" fillId="4" borderId="15" xfId="2" applyFont="1" applyFill="1" applyBorder="1" applyAlignment="1">
      <alignment horizontal="center"/>
    </xf>
    <xf numFmtId="0" fontId="7" fillId="6" borderId="1" xfId="2" applyFont="1" applyFill="1" applyBorder="1" applyAlignment="1">
      <alignment horizontal="center" vertical="center" wrapText="1"/>
    </xf>
    <xf numFmtId="0" fontId="7" fillId="6" borderId="17" xfId="2" applyFont="1" applyFill="1" applyBorder="1" applyAlignment="1">
      <alignment horizontal="center" vertical="center" wrapText="1"/>
    </xf>
    <xf numFmtId="0" fontId="7" fillId="6" borderId="18" xfId="2" applyFont="1" applyFill="1" applyBorder="1" applyAlignment="1">
      <alignment horizontal="center" vertical="center" wrapText="1"/>
    </xf>
    <xf numFmtId="0" fontId="7" fillId="6" borderId="19" xfId="2" applyFont="1" applyFill="1" applyBorder="1" applyAlignment="1">
      <alignment horizontal="center" vertical="center" wrapText="1"/>
    </xf>
    <xf numFmtId="0" fontId="20" fillId="15" borderId="2" xfId="0" applyFont="1" applyFill="1" applyBorder="1" applyAlignment="1">
      <alignment horizontal="center" vertical="center" wrapText="1"/>
    </xf>
    <xf numFmtId="0" fontId="20" fillId="15" borderId="4" xfId="0" applyFont="1" applyFill="1" applyBorder="1" applyAlignment="1">
      <alignment horizontal="center" vertical="center" wrapText="1"/>
    </xf>
    <xf numFmtId="0" fontId="20" fillId="15" borderId="2" xfId="0" applyFont="1" applyFill="1" applyBorder="1" applyAlignment="1">
      <alignment horizontal="left" vertical="center" wrapText="1"/>
    </xf>
    <xf numFmtId="0" fontId="20" fillId="15" borderId="4" xfId="0" applyFont="1" applyFill="1" applyBorder="1" applyAlignment="1">
      <alignment horizontal="left" vertical="center" wrapText="1"/>
    </xf>
    <xf numFmtId="3" fontId="20" fillId="17" borderId="11" xfId="0" applyNumberFormat="1" applyFont="1" applyFill="1" applyBorder="1" applyAlignment="1">
      <alignment horizontal="center"/>
    </xf>
    <xf numFmtId="3" fontId="20" fillId="17" borderId="59" xfId="0" applyNumberFormat="1" applyFont="1" applyFill="1" applyBorder="1" applyAlignment="1">
      <alignment horizontal="center"/>
    </xf>
    <xf numFmtId="3" fontId="20" fillId="17" borderId="5" xfId="0" applyNumberFormat="1" applyFont="1" applyFill="1" applyBorder="1" applyAlignment="1">
      <alignment horizontal="center"/>
    </xf>
    <xf numFmtId="3" fontId="20" fillId="17" borderId="11" xfId="0" applyNumberFormat="1" applyFont="1" applyFill="1" applyBorder="1" applyAlignment="1">
      <alignment horizontal="center" wrapText="1"/>
    </xf>
    <xf numFmtId="3" fontId="20" fillId="17" borderId="59" xfId="0" applyNumberFormat="1" applyFont="1" applyFill="1" applyBorder="1" applyAlignment="1">
      <alignment horizontal="center" wrapText="1"/>
    </xf>
    <xf numFmtId="3" fontId="20" fillId="17" borderId="5" xfId="0" applyNumberFormat="1" applyFont="1" applyFill="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0"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1" fillId="0" borderId="4" xfId="0" applyFont="1" applyBorder="1" applyAlignment="1">
      <alignment horizontal="center" vertical="top" wrapText="1"/>
    </xf>
    <xf numFmtId="0" fontId="3" fillId="0" borderId="9" xfId="0" applyFont="1" applyBorder="1" applyAlignment="1">
      <alignment horizontal="center" vertical="top" wrapText="1"/>
    </xf>
    <xf numFmtId="0" fontId="3" fillId="0" borderId="6" xfId="0" applyFont="1" applyBorder="1" applyAlignment="1">
      <alignment horizontal="center" vertical="top" wrapText="1"/>
    </xf>
    <xf numFmtId="0" fontId="3" fillId="0" borderId="12" xfId="0" applyFont="1" applyBorder="1" applyAlignment="1">
      <alignment horizontal="center" vertical="top" wrapText="1"/>
    </xf>
    <xf numFmtId="0" fontId="1" fillId="0" borderId="30" xfId="0" applyFont="1" applyBorder="1" applyAlignment="1">
      <alignment horizontal="center" vertical="top" wrapText="1"/>
    </xf>
    <xf numFmtId="0" fontId="1" fillId="0" borderId="0"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vertical="top" wrapText="1"/>
    </xf>
    <xf numFmtId="0" fontId="3" fillId="0" borderId="0" xfId="0" applyFont="1" applyBorder="1" applyAlignment="1">
      <alignment horizontal="center" vertical="top" wrapText="1"/>
    </xf>
    <xf numFmtId="0" fontId="3" fillId="0" borderId="29"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9" xfId="0" applyFont="1" applyBorder="1" applyAlignment="1">
      <alignment horizontal="center" vertical="top" wrapText="1"/>
    </xf>
    <xf numFmtId="0" fontId="1" fillId="0" borderId="6" xfId="0" applyFont="1" applyBorder="1" applyAlignment="1">
      <alignment horizontal="center" vertical="top" wrapText="1"/>
    </xf>
    <xf numFmtId="0" fontId="3" fillId="0" borderId="1" xfId="0" applyFont="1" applyBorder="1" applyAlignment="1">
      <alignment horizontal="left" vertical="top" wrapText="1"/>
    </xf>
  </cellXfs>
  <cellStyles count="12">
    <cellStyle name="Comma" xfId="1" builtinId="3"/>
    <cellStyle name="Comma 2" xfId="4"/>
    <cellStyle name="Comma 2 2" xfId="9"/>
    <cellStyle name="Comma 3" xfId="5"/>
    <cellStyle name="Comma 3 2" xfId="10"/>
    <cellStyle name="Comma 4" xfId="8"/>
    <cellStyle name="Normal" xfId="0" builtinId="0"/>
    <cellStyle name="Normal 2" xfId="2"/>
    <cellStyle name="Normal 3" xfId="6"/>
    <cellStyle name="Normal 4" xfId="11"/>
    <cellStyle name="Percent" xfId="7" builtinId="5"/>
    <cellStyle name="Percent 2" xfId="3"/>
  </cellStyles>
  <dxfs count="0"/>
  <tableStyles count="0" defaultTableStyle="TableStyleMedium2" defaultPivotStyle="PivotStyleLight16"/>
  <colors>
    <mruColors>
      <color rgb="FFCCCCFF"/>
      <color rgb="FFCCECFF"/>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revisionHeaders" Target="revisions/revisionHeaders.xml"/></Relationships>
</file>

<file path=xl/drawings/drawing1.xml><?xml version="1.0" encoding="utf-8"?>
<xdr:wsDr xmlns:xdr="http://schemas.openxmlformats.org/drawingml/2006/spreadsheetDrawing" xmlns:a="http://schemas.openxmlformats.org/drawingml/2006/main">
  <xdr:twoCellAnchor>
    <xdr:from>
      <xdr:col>0</xdr:col>
      <xdr:colOff>127000</xdr:colOff>
      <xdr:row>0</xdr:row>
      <xdr:rowOff>127000</xdr:rowOff>
    </xdr:from>
    <xdr:to>
      <xdr:col>0</xdr:col>
      <xdr:colOff>2768621</xdr:colOff>
      <xdr:row>1</xdr:row>
      <xdr:rowOff>593661</xdr:rowOff>
    </xdr:to>
    <xdr:sp macro="" textlink="">
      <xdr:nvSpPr>
        <xdr:cNvPr id="2" name="B43B9E99-EEEB-43E0-84A8-B82E90D6F7D8">
          <a:extLst>
            <a:ext uri="{FF2B5EF4-FFF2-40B4-BE49-F238E27FC236}">
              <a16:creationId xmlns:a16="http://schemas.microsoft.com/office/drawing/2014/main" id="{00000000-0008-0000-0300-000002000000}"/>
            </a:ext>
          </a:extLst>
        </xdr:cNvPr>
        <xdr:cNvSpPr txBox="1"/>
      </xdr:nvSpPr>
      <xdr:spPr>
        <a:xfrm>
          <a:off x="127000" y="127000"/>
          <a:ext cx="2641621" cy="676211"/>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lIns="63500" tIns="63500" rIns="63500" bIns="63500" rtlCol="0" anchor="t">
          <a:spAutoFit/>
        </a:bodyPr>
        <a:lstStyle/>
        <a:p>
          <a:r>
            <a:rPr lang="en-US" sz="1300" b="1"/>
            <a:t>3D Maps Tours
</a:t>
          </a:r>
          <a:r>
            <a:rPr lang="en-US" sz="1100"/>
            <a:t>This workbook has 3D Maps tours available.
Open 3D Maps to edit or play the tours.</a:t>
          </a:r>
          <a:endParaRPr lang="bg-BG" sz="1100"/>
        </a:p>
      </xdr:txBody>
    </xdr:sp>
    <xdr:clientData/>
  </xdr:twoCellAnchor>
</xdr:wsDr>
</file>

<file path=xl/revisions/_rels/revisionHeaders.xml.rels><?xml version="1.0" encoding="UTF-8" standalone="yes"?>
<Relationships xmlns="http://schemas.openxmlformats.org/package/2006/relationships"><Relationship Id="rId117" Type="http://schemas.openxmlformats.org/officeDocument/2006/relationships/revisionLog" Target="revisionLog3.xml"/><Relationship Id="rId125" Type="http://schemas.openxmlformats.org/officeDocument/2006/relationships/revisionLog" Target="revisionLog11.xml"/><Relationship Id="rId120" Type="http://schemas.openxmlformats.org/officeDocument/2006/relationships/revisionLog" Target="revisionLog6.xml"/><Relationship Id="rId133" Type="http://schemas.openxmlformats.org/officeDocument/2006/relationships/revisionLog" Target="revisionLog17.xml"/><Relationship Id="rId138" Type="http://schemas.openxmlformats.org/officeDocument/2006/relationships/revisionLog" Target="revisionLog22.xml"/><Relationship Id="rId141" Type="http://schemas.openxmlformats.org/officeDocument/2006/relationships/revisionLog" Target="revisionLog25.xml"/><Relationship Id="rId146" Type="http://schemas.openxmlformats.org/officeDocument/2006/relationships/revisionLog" Target="revisionLog30.xml"/><Relationship Id="rId154" Type="http://schemas.openxmlformats.org/officeDocument/2006/relationships/revisionLog" Target="revisionLog38.xml"/><Relationship Id="rId159" Type="http://schemas.openxmlformats.org/officeDocument/2006/relationships/revisionLog" Target="revisionLog43.xml"/><Relationship Id="rId167" Type="http://schemas.openxmlformats.org/officeDocument/2006/relationships/revisionLog" Target="revisionLog51.xml"/><Relationship Id="rId162" Type="http://schemas.openxmlformats.org/officeDocument/2006/relationships/revisionLog" Target="revisionLog46.xml"/><Relationship Id="rId123" Type="http://schemas.openxmlformats.org/officeDocument/2006/relationships/revisionLog" Target="revisionLog9.xml"/><Relationship Id="rId128" Type="http://schemas.openxmlformats.org/officeDocument/2006/relationships/revisionLog" Target="revisionLog14.xml"/><Relationship Id="rId131" Type="http://schemas.openxmlformats.org/officeDocument/2006/relationships/revisionLog" Target="revisionLog2.xml"/><Relationship Id="rId136" Type="http://schemas.openxmlformats.org/officeDocument/2006/relationships/revisionLog" Target="revisionLog20.xml"/><Relationship Id="rId144" Type="http://schemas.openxmlformats.org/officeDocument/2006/relationships/revisionLog" Target="revisionLog28.xml"/><Relationship Id="rId149" Type="http://schemas.openxmlformats.org/officeDocument/2006/relationships/revisionLog" Target="revisionLog33.xml"/><Relationship Id="rId157" Type="http://schemas.openxmlformats.org/officeDocument/2006/relationships/revisionLog" Target="revisionLog41.xml"/><Relationship Id="rId152" Type="http://schemas.openxmlformats.org/officeDocument/2006/relationships/revisionLog" Target="revisionLog36.xml"/><Relationship Id="rId160" Type="http://schemas.openxmlformats.org/officeDocument/2006/relationships/revisionLog" Target="revisionLog44.xml"/><Relationship Id="rId165" Type="http://schemas.openxmlformats.org/officeDocument/2006/relationships/revisionLog" Target="revisionLog49.xml"/><Relationship Id="rId122" Type="http://schemas.openxmlformats.org/officeDocument/2006/relationships/revisionLog" Target="revisionLog8.xml"/><Relationship Id="rId130" Type="http://schemas.openxmlformats.org/officeDocument/2006/relationships/revisionLog" Target="revisionLog15.xml"/><Relationship Id="rId135" Type="http://schemas.openxmlformats.org/officeDocument/2006/relationships/revisionLog" Target="revisionLog19.xml"/><Relationship Id="rId143" Type="http://schemas.openxmlformats.org/officeDocument/2006/relationships/revisionLog" Target="revisionLog27.xml"/><Relationship Id="rId148" Type="http://schemas.openxmlformats.org/officeDocument/2006/relationships/revisionLog" Target="revisionLog32.xml"/><Relationship Id="rId151" Type="http://schemas.openxmlformats.org/officeDocument/2006/relationships/revisionLog" Target="revisionLog35.xml"/><Relationship Id="rId156" Type="http://schemas.openxmlformats.org/officeDocument/2006/relationships/revisionLog" Target="revisionLog40.xml"/><Relationship Id="rId164" Type="http://schemas.openxmlformats.org/officeDocument/2006/relationships/revisionLog" Target="revisionLog48.xml"/><Relationship Id="rId169" Type="http://schemas.openxmlformats.org/officeDocument/2006/relationships/revisionLog" Target="revisionLog53.xml"/><Relationship Id="rId118" Type="http://schemas.openxmlformats.org/officeDocument/2006/relationships/revisionLog" Target="revisionLog4.xml"/><Relationship Id="rId126" Type="http://schemas.openxmlformats.org/officeDocument/2006/relationships/revisionLog" Target="revisionLog12.xml"/><Relationship Id="rId134" Type="http://schemas.openxmlformats.org/officeDocument/2006/relationships/revisionLog" Target="revisionLog18.xml"/><Relationship Id="rId139" Type="http://schemas.openxmlformats.org/officeDocument/2006/relationships/revisionLog" Target="revisionLog23.xml"/><Relationship Id="rId147" Type="http://schemas.openxmlformats.org/officeDocument/2006/relationships/revisionLog" Target="revisionLog31.xml"/><Relationship Id="rId168" Type="http://schemas.openxmlformats.org/officeDocument/2006/relationships/revisionLog" Target="revisionLog52.xml"/><Relationship Id="rId121" Type="http://schemas.openxmlformats.org/officeDocument/2006/relationships/revisionLog" Target="revisionLog7.xml"/><Relationship Id="rId142" Type="http://schemas.openxmlformats.org/officeDocument/2006/relationships/revisionLog" Target="revisionLog26.xml"/><Relationship Id="rId150" Type="http://schemas.openxmlformats.org/officeDocument/2006/relationships/revisionLog" Target="revisionLog34.xml"/><Relationship Id="rId155" Type="http://schemas.openxmlformats.org/officeDocument/2006/relationships/revisionLog" Target="revisionLog39.xml"/><Relationship Id="rId163" Type="http://schemas.openxmlformats.org/officeDocument/2006/relationships/revisionLog" Target="revisionLog47.xml"/><Relationship Id="rId124" Type="http://schemas.openxmlformats.org/officeDocument/2006/relationships/revisionLog" Target="revisionLog10.xml"/><Relationship Id="rId129" Type="http://schemas.openxmlformats.org/officeDocument/2006/relationships/revisionLog" Target="revisionLog1.xml"/><Relationship Id="rId137" Type="http://schemas.openxmlformats.org/officeDocument/2006/relationships/revisionLog" Target="revisionLog21.xml"/><Relationship Id="rId158" Type="http://schemas.openxmlformats.org/officeDocument/2006/relationships/revisionLog" Target="revisionLog42.xml"/><Relationship Id="rId132" Type="http://schemas.openxmlformats.org/officeDocument/2006/relationships/revisionLog" Target="revisionLog16.xml"/><Relationship Id="rId140" Type="http://schemas.openxmlformats.org/officeDocument/2006/relationships/revisionLog" Target="revisionLog24.xml"/><Relationship Id="rId145" Type="http://schemas.openxmlformats.org/officeDocument/2006/relationships/revisionLog" Target="revisionLog29.xml"/><Relationship Id="rId153" Type="http://schemas.openxmlformats.org/officeDocument/2006/relationships/revisionLog" Target="revisionLog37.xml"/><Relationship Id="rId161" Type="http://schemas.openxmlformats.org/officeDocument/2006/relationships/revisionLog" Target="revisionLog45.xml"/><Relationship Id="rId166" Type="http://schemas.openxmlformats.org/officeDocument/2006/relationships/revisionLog" Target="revisionLog50.xml"/><Relationship Id="rId127" Type="http://schemas.openxmlformats.org/officeDocument/2006/relationships/revisionLog" Target="revisionLog13.xml"/><Relationship Id="rId119" Type="http://schemas.openxmlformats.org/officeDocument/2006/relationships/revisionLog" Target="revisionLog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6F68F73-D2C4-46C7-97C6-300D5F23C04B}" diskRevisions="1" revisionId="1344" version="23">
  <header guid="{9A5DA9D6-1F85-48C8-971E-2311AB63FA9A}" dateTime="2022-08-15T11:57:29" maxSheetId="10" userName="Полина Личева" r:id="rId117" minRId="748">
    <sheetIdMap count="9">
      <sheetId val="1"/>
      <sheetId val="2"/>
      <sheetId val="3"/>
      <sheetId val="4"/>
      <sheetId val="5"/>
      <sheetId val="6"/>
      <sheetId val="7"/>
      <sheetId val="8"/>
      <sheetId val="9"/>
    </sheetIdMap>
  </header>
  <header guid="{9954AA35-8320-4181-90DA-7EF8F9F048CC}" dateTime="2022-08-15T14:31:05" maxSheetId="10" userName="Полина Личева" r:id="rId118" minRId="758">
    <sheetIdMap count="9">
      <sheetId val="1"/>
      <sheetId val="2"/>
      <sheetId val="3"/>
      <sheetId val="4"/>
      <sheetId val="5"/>
      <sheetId val="6"/>
      <sheetId val="7"/>
      <sheetId val="8"/>
      <sheetId val="9"/>
    </sheetIdMap>
  </header>
  <header guid="{33932993-FCC8-414A-8F0C-801C24695E9D}" dateTime="2022-08-24T12:14:59" maxSheetId="10" userName="Daniela Nikolova" r:id="rId119">
    <sheetIdMap count="9">
      <sheetId val="1"/>
      <sheetId val="2"/>
      <sheetId val="3"/>
      <sheetId val="4"/>
      <sheetId val="5"/>
      <sheetId val="6"/>
      <sheetId val="7"/>
      <sheetId val="8"/>
      <sheetId val="9"/>
    </sheetIdMap>
  </header>
  <header guid="{99791C9C-1278-474A-ADDF-8C74FD7FFE68}" dateTime="2022-09-02T10:52:59" maxSheetId="10" userName="Полина Личева" r:id="rId120">
    <sheetIdMap count="9">
      <sheetId val="1"/>
      <sheetId val="2"/>
      <sheetId val="3"/>
      <sheetId val="4"/>
      <sheetId val="5"/>
      <sheetId val="6"/>
      <sheetId val="7"/>
      <sheetId val="8"/>
      <sheetId val="9"/>
    </sheetIdMap>
  </header>
  <header guid="{E29B1A23-7E40-4CF4-9344-DCD2C4B6ED60}" dateTime="2022-09-02T10:53:19" maxSheetId="10" userName="Полина Личева" r:id="rId121">
    <sheetIdMap count="9">
      <sheetId val="1"/>
      <sheetId val="2"/>
      <sheetId val="3"/>
      <sheetId val="4"/>
      <sheetId val="5"/>
      <sheetId val="6"/>
      <sheetId val="7"/>
      <sheetId val="8"/>
      <sheetId val="9"/>
    </sheetIdMap>
  </header>
  <header guid="{ABA4B6B1-4197-4B54-93BF-53DB022AC25B}" dateTime="2022-09-02T11:01:50" maxSheetId="10" userName="Полина Личева" r:id="rId122" minRId="786" maxRId="789">
    <sheetIdMap count="9">
      <sheetId val="1"/>
      <sheetId val="2"/>
      <sheetId val="3"/>
      <sheetId val="4"/>
      <sheetId val="5"/>
      <sheetId val="6"/>
      <sheetId val="7"/>
      <sheetId val="8"/>
      <sheetId val="9"/>
    </sheetIdMap>
  </header>
  <header guid="{E31FF36C-57D5-441E-9765-07649F761A1D}" dateTime="2022-09-02T11:02:57" maxSheetId="10" userName="Полина Личева" r:id="rId123" minRId="790">
    <sheetIdMap count="9">
      <sheetId val="1"/>
      <sheetId val="2"/>
      <sheetId val="3"/>
      <sheetId val="4"/>
      <sheetId val="5"/>
      <sheetId val="6"/>
      <sheetId val="7"/>
      <sheetId val="8"/>
      <sheetId val="9"/>
    </sheetIdMap>
  </header>
  <header guid="{D5B5134E-1081-4A0A-B30F-3D73FDC38862}" dateTime="2022-09-02T11:12:18" maxSheetId="10" userName="Полина Личева" r:id="rId124" minRId="791">
    <sheetIdMap count="9">
      <sheetId val="1"/>
      <sheetId val="2"/>
      <sheetId val="3"/>
      <sheetId val="4"/>
      <sheetId val="5"/>
      <sheetId val="6"/>
      <sheetId val="7"/>
      <sheetId val="8"/>
      <sheetId val="9"/>
    </sheetIdMap>
  </header>
  <header guid="{3D905842-0C56-4F97-A13C-FA28E7F90170}" dateTime="2022-09-02T11:15:26" maxSheetId="10" userName="Полина Личева" r:id="rId125" minRId="801">
    <sheetIdMap count="9">
      <sheetId val="1"/>
      <sheetId val="2"/>
      <sheetId val="3"/>
      <sheetId val="4"/>
      <sheetId val="5"/>
      <sheetId val="6"/>
      <sheetId val="7"/>
      <sheetId val="8"/>
      <sheetId val="9"/>
    </sheetIdMap>
  </header>
  <header guid="{402C7BFF-B5C6-4310-A6FE-795933ADF1C6}" dateTime="2022-09-02T11:17:45" maxSheetId="10" userName="Полина Личева" r:id="rId126" minRId="811">
    <sheetIdMap count="9">
      <sheetId val="1"/>
      <sheetId val="2"/>
      <sheetId val="3"/>
      <sheetId val="4"/>
      <sheetId val="5"/>
      <sheetId val="6"/>
      <sheetId val="7"/>
      <sheetId val="8"/>
      <sheetId val="9"/>
    </sheetIdMap>
  </header>
  <header guid="{EC7BBC09-0B47-48EB-A314-B9DA6F0A2910}" dateTime="2022-09-02T11:19:31" maxSheetId="10" userName="Полина Личева" r:id="rId127" minRId="812">
    <sheetIdMap count="9">
      <sheetId val="1"/>
      <sheetId val="2"/>
      <sheetId val="3"/>
      <sheetId val="4"/>
      <sheetId val="5"/>
      <sheetId val="6"/>
      <sheetId val="7"/>
      <sheetId val="8"/>
      <sheetId val="9"/>
    </sheetIdMap>
  </header>
  <header guid="{3BDA96B2-BF5B-468B-979A-6FC5EEA187B6}" dateTime="2022-09-02T14:27:29" maxSheetId="10" userName="Полина Личева" r:id="rId128" minRId="822" maxRId="825">
    <sheetIdMap count="9">
      <sheetId val="1"/>
      <sheetId val="2"/>
      <sheetId val="3"/>
      <sheetId val="4"/>
      <sheetId val="5"/>
      <sheetId val="6"/>
      <sheetId val="7"/>
      <sheetId val="8"/>
      <sheetId val="9"/>
    </sheetIdMap>
  </header>
  <header guid="{D7C77C27-BD47-48DC-9936-6B7782E36DBC}" dateTime="2022-09-02T15:33:39" maxSheetId="10" userName="Полина Личева" r:id="rId129" minRId="826" maxRId="828">
    <sheetIdMap count="9">
      <sheetId val="1"/>
      <sheetId val="2"/>
      <sheetId val="3"/>
      <sheetId val="4"/>
      <sheetId val="5"/>
      <sheetId val="6"/>
      <sheetId val="7"/>
      <sheetId val="8"/>
      <sheetId val="9"/>
    </sheetIdMap>
  </header>
  <header guid="{D080E82B-2784-419B-92BC-D98E2F02FC0E}" dateTime="2022-09-02T16:47:55" maxSheetId="10" userName="Полина Личева" r:id="rId130" minRId="829">
    <sheetIdMap count="9">
      <sheetId val="1"/>
      <sheetId val="2"/>
      <sheetId val="3"/>
      <sheetId val="4"/>
      <sheetId val="5"/>
      <sheetId val="6"/>
      <sheetId val="7"/>
      <sheetId val="8"/>
      <sheetId val="9"/>
    </sheetIdMap>
  </header>
  <header guid="{D7DEED08-AA83-4C09-B41C-A54D4E362101}" dateTime="2022-09-05T12:50:10" maxSheetId="10" userName="Полина Личева" r:id="rId131" minRId="830" maxRId="834">
    <sheetIdMap count="9">
      <sheetId val="1"/>
      <sheetId val="2"/>
      <sheetId val="3"/>
      <sheetId val="4"/>
      <sheetId val="5"/>
      <sheetId val="6"/>
      <sheetId val="7"/>
      <sheetId val="8"/>
      <sheetId val="9"/>
    </sheetIdMap>
  </header>
  <header guid="{C264706E-4C06-4323-B2BC-17F6C63B8C04}" dateTime="2022-09-05T12:50:31" maxSheetId="10" userName="Полина Личева" r:id="rId132" minRId="844">
    <sheetIdMap count="9">
      <sheetId val="1"/>
      <sheetId val="2"/>
      <sheetId val="3"/>
      <sheetId val="4"/>
      <sheetId val="5"/>
      <sheetId val="6"/>
      <sheetId val="7"/>
      <sheetId val="8"/>
      <sheetId val="9"/>
    </sheetIdMap>
  </header>
  <header guid="{3272BADC-D71A-4014-A7D1-525F4E57E24A}" dateTime="2022-09-05T12:50:46" maxSheetId="10" userName="Полина Личева" r:id="rId133">
    <sheetIdMap count="9">
      <sheetId val="1"/>
      <sheetId val="2"/>
      <sheetId val="3"/>
      <sheetId val="4"/>
      <sheetId val="5"/>
      <sheetId val="6"/>
      <sheetId val="7"/>
      <sheetId val="8"/>
      <sheetId val="9"/>
    </sheetIdMap>
  </header>
  <header guid="{2596652C-84F9-46B4-A61B-0B72A6BF63C4}" dateTime="2022-09-05T12:54:31" maxSheetId="10" userName="Полина Личева" r:id="rId134">
    <sheetIdMap count="9">
      <sheetId val="1"/>
      <sheetId val="2"/>
      <sheetId val="3"/>
      <sheetId val="4"/>
      <sheetId val="5"/>
      <sheetId val="6"/>
      <sheetId val="7"/>
      <sheetId val="8"/>
      <sheetId val="9"/>
    </sheetIdMap>
  </header>
  <header guid="{E8C53C72-8187-4073-90DF-E8B0D3F6B173}" dateTime="2022-09-05T14:41:22" maxSheetId="10" userName="Полина Личева" r:id="rId135" minRId="863" maxRId="864">
    <sheetIdMap count="9">
      <sheetId val="1"/>
      <sheetId val="2"/>
      <sheetId val="3"/>
      <sheetId val="4"/>
      <sheetId val="5"/>
      <sheetId val="6"/>
      <sheetId val="7"/>
      <sheetId val="8"/>
      <sheetId val="9"/>
    </sheetIdMap>
  </header>
  <header guid="{B27B836F-788A-459B-82FE-0FC55CD84722}" dateTime="2022-09-05T14:44:42" maxSheetId="10" userName="Полина Личева" r:id="rId136" minRId="874" maxRId="875">
    <sheetIdMap count="9">
      <sheetId val="1"/>
      <sheetId val="2"/>
      <sheetId val="3"/>
      <sheetId val="4"/>
      <sheetId val="5"/>
      <sheetId val="6"/>
      <sheetId val="7"/>
      <sheetId val="8"/>
      <sheetId val="9"/>
    </sheetIdMap>
  </header>
  <header guid="{94AC2AD0-0150-4781-8F0A-21026D1A57E7}" dateTime="2022-09-05T15:06:31" maxSheetId="10" userName="Полина Личева" r:id="rId137" minRId="885" maxRId="890">
    <sheetIdMap count="9">
      <sheetId val="1"/>
      <sheetId val="2"/>
      <sheetId val="3"/>
      <sheetId val="4"/>
      <sheetId val="5"/>
      <sheetId val="6"/>
      <sheetId val="7"/>
      <sheetId val="8"/>
      <sheetId val="9"/>
    </sheetIdMap>
  </header>
  <header guid="{841B7C99-E894-4C54-ABF0-A144953398AC}" dateTime="2022-09-05T15:06:41" maxSheetId="10" userName="Полина Личева" r:id="rId138">
    <sheetIdMap count="9">
      <sheetId val="1"/>
      <sheetId val="2"/>
      <sheetId val="3"/>
      <sheetId val="4"/>
      <sheetId val="5"/>
      <sheetId val="6"/>
      <sheetId val="7"/>
      <sheetId val="8"/>
      <sheetId val="9"/>
    </sheetIdMap>
  </header>
  <header guid="{4A8CBE9E-4B37-460D-B230-02AFA6EC877F}" dateTime="2022-09-05T15:09:18" maxSheetId="10" userName="Полина Личева" r:id="rId139" minRId="891" maxRId="896">
    <sheetIdMap count="9">
      <sheetId val="1"/>
      <sheetId val="2"/>
      <sheetId val="3"/>
      <sheetId val="4"/>
      <sheetId val="5"/>
      <sheetId val="6"/>
      <sheetId val="7"/>
      <sheetId val="8"/>
      <sheetId val="9"/>
    </sheetIdMap>
  </header>
  <header guid="{D1A6609E-52FE-46F2-A6F6-797C866EAB7B}" dateTime="2022-09-05T15:14:49" maxSheetId="10" userName="Полина Личева" r:id="rId140" minRId="897" maxRId="899">
    <sheetIdMap count="9">
      <sheetId val="1"/>
      <sheetId val="2"/>
      <sheetId val="3"/>
      <sheetId val="4"/>
      <sheetId val="5"/>
      <sheetId val="6"/>
      <sheetId val="7"/>
      <sheetId val="8"/>
      <sheetId val="9"/>
    </sheetIdMap>
  </header>
  <header guid="{258E0262-7DA9-4345-BE27-F90F32178F49}" dateTime="2022-09-05T17:39:43" maxSheetId="10" userName="Полина Личева" r:id="rId141" minRId="900" maxRId="904">
    <sheetIdMap count="9">
      <sheetId val="1"/>
      <sheetId val="2"/>
      <sheetId val="3"/>
      <sheetId val="4"/>
      <sheetId val="5"/>
      <sheetId val="6"/>
      <sheetId val="7"/>
      <sheetId val="8"/>
      <sheetId val="9"/>
    </sheetIdMap>
  </header>
  <header guid="{25A16865-D70D-41EF-A83C-BB1584A42B31}" dateTime="2022-09-05T17:39:53" maxSheetId="10" userName="Полина Личева" r:id="rId142" minRId="914" maxRId="915">
    <sheetIdMap count="9">
      <sheetId val="1"/>
      <sheetId val="2"/>
      <sheetId val="3"/>
      <sheetId val="4"/>
      <sheetId val="5"/>
      <sheetId val="6"/>
      <sheetId val="7"/>
      <sheetId val="8"/>
      <sheetId val="9"/>
    </sheetIdMap>
  </header>
  <header guid="{ADF3A9CC-6F7A-4F00-A1E2-CF44ADC77A41}" dateTime="2022-09-05T17:54:18" maxSheetId="10" userName="Полина Личева" r:id="rId143" minRId="916" maxRId="919">
    <sheetIdMap count="9">
      <sheetId val="1"/>
      <sheetId val="2"/>
      <sheetId val="3"/>
      <sheetId val="4"/>
      <sheetId val="5"/>
      <sheetId val="6"/>
      <sheetId val="7"/>
      <sheetId val="8"/>
      <sheetId val="9"/>
    </sheetIdMap>
  </header>
  <header guid="{4650EC2F-37FA-4242-AE3B-414F470C670C}" dateTime="2022-09-07T22:57:29" maxSheetId="10" userName="Елисавета Марашлиева-Нинова" r:id="rId144" minRId="929" maxRId="1017">
    <sheetIdMap count="9">
      <sheetId val="1"/>
      <sheetId val="2"/>
      <sheetId val="3"/>
      <sheetId val="4"/>
      <sheetId val="5"/>
      <sheetId val="6"/>
      <sheetId val="7"/>
      <sheetId val="8"/>
      <sheetId val="9"/>
    </sheetIdMap>
  </header>
  <header guid="{C936245B-10DF-412A-9DB6-B8F2A3CC4F13}" dateTime="2022-09-08T16:40:54" maxSheetId="10" userName="Полина Личева" r:id="rId145" minRId="1027" maxRId="1030">
    <sheetIdMap count="9">
      <sheetId val="1"/>
      <sheetId val="2"/>
      <sheetId val="3"/>
      <sheetId val="4"/>
      <sheetId val="5"/>
      <sheetId val="6"/>
      <sheetId val="7"/>
      <sheetId val="8"/>
      <sheetId val="9"/>
    </sheetIdMap>
  </header>
  <header guid="{DBCC9078-9149-4D60-A297-B6D3769CC89B}" dateTime="2022-09-08T16:41:44" maxSheetId="10" userName="Полина Личева" r:id="rId146">
    <sheetIdMap count="9">
      <sheetId val="1"/>
      <sheetId val="2"/>
      <sheetId val="3"/>
      <sheetId val="4"/>
      <sheetId val="5"/>
      <sheetId val="6"/>
      <sheetId val="7"/>
      <sheetId val="8"/>
      <sheetId val="9"/>
    </sheetIdMap>
  </header>
  <header guid="{78468369-0EA7-4BF3-B68E-036EE2A8A574}" dateTime="2022-09-08T17:00:28" maxSheetId="10" userName="Полина Личева" r:id="rId147" minRId="1031" maxRId="1032">
    <sheetIdMap count="9">
      <sheetId val="1"/>
      <sheetId val="2"/>
      <sheetId val="3"/>
      <sheetId val="4"/>
      <sheetId val="5"/>
      <sheetId val="6"/>
      <sheetId val="7"/>
      <sheetId val="8"/>
      <sheetId val="9"/>
    </sheetIdMap>
  </header>
  <header guid="{24CA3623-9901-4209-83F9-5EB5919F06D8}" dateTime="2022-09-08T17:40:55" maxSheetId="10" userName="user" r:id="rId148" minRId="1033" maxRId="1063">
    <sheetIdMap count="9">
      <sheetId val="1"/>
      <sheetId val="2"/>
      <sheetId val="3"/>
      <sheetId val="4"/>
      <sheetId val="5"/>
      <sheetId val="6"/>
      <sheetId val="7"/>
      <sheetId val="8"/>
      <sheetId val="9"/>
    </sheetIdMap>
  </header>
  <header guid="{5B76D277-9B17-41CE-824C-DAF70BEF729B}" dateTime="2022-09-08T17:47:09" maxSheetId="10" userName="user" r:id="rId149" minRId="1073" maxRId="1106">
    <sheetIdMap count="9">
      <sheetId val="1"/>
      <sheetId val="2"/>
      <sheetId val="3"/>
      <sheetId val="4"/>
      <sheetId val="5"/>
      <sheetId val="6"/>
      <sheetId val="7"/>
      <sheetId val="8"/>
      <sheetId val="9"/>
    </sheetIdMap>
  </header>
  <header guid="{BE0E8321-269B-414F-989C-5718AE59D9C9}" dateTime="2022-09-09T10:00:40" maxSheetId="10" userName="Полина Личева" r:id="rId150" minRId="1107" maxRId="1110">
    <sheetIdMap count="9">
      <sheetId val="1"/>
      <sheetId val="2"/>
      <sheetId val="3"/>
      <sheetId val="4"/>
      <sheetId val="5"/>
      <sheetId val="6"/>
      <sheetId val="7"/>
      <sheetId val="8"/>
      <sheetId val="9"/>
    </sheetIdMap>
  </header>
  <header guid="{79DEC2E2-92D7-4DA2-82C6-3F680279E3FA}" dateTime="2022-09-09T10:04:04" maxSheetId="10" userName="Полина Личева" r:id="rId151">
    <sheetIdMap count="9">
      <sheetId val="1"/>
      <sheetId val="2"/>
      <sheetId val="3"/>
      <sheetId val="4"/>
      <sheetId val="5"/>
      <sheetId val="6"/>
      <sheetId val="7"/>
      <sheetId val="8"/>
      <sheetId val="9"/>
    </sheetIdMap>
  </header>
  <header guid="{9DDBE84D-7A17-459A-8018-4971726A3F16}" dateTime="2022-09-12T13:50:07" maxSheetId="10" userName="Полина Личева" r:id="rId152" minRId="1120" maxRId="1123">
    <sheetIdMap count="9">
      <sheetId val="1"/>
      <sheetId val="2"/>
      <sheetId val="3"/>
      <sheetId val="4"/>
      <sheetId val="5"/>
      <sheetId val="6"/>
      <sheetId val="7"/>
      <sheetId val="8"/>
      <sheetId val="9"/>
    </sheetIdMap>
  </header>
  <header guid="{2FB40BCF-599B-478D-992A-09BE32DE1D07}" dateTime="2022-09-12T15:51:16" maxSheetId="10" userName="Цветелина Соракова" r:id="rId153" minRId="1124" maxRId="1204">
    <sheetIdMap count="9">
      <sheetId val="1"/>
      <sheetId val="2"/>
      <sheetId val="3"/>
      <sheetId val="4"/>
      <sheetId val="5"/>
      <sheetId val="6"/>
      <sheetId val="7"/>
      <sheetId val="8"/>
      <sheetId val="9"/>
    </sheetIdMap>
  </header>
  <header guid="{E863AA9D-3082-4070-8CF9-4903784E2F8C}" dateTime="2022-09-12T16:47:51" maxSheetId="10" userName="Цветелина Соракова" r:id="rId154">
    <sheetIdMap count="9">
      <sheetId val="1"/>
      <sheetId val="2"/>
      <sheetId val="3"/>
      <sheetId val="4"/>
      <sheetId val="5"/>
      <sheetId val="6"/>
      <sheetId val="7"/>
      <sheetId val="8"/>
      <sheetId val="9"/>
    </sheetIdMap>
  </header>
  <header guid="{3003DAB5-74D8-4499-924E-506084548892}" dateTime="2022-09-12T16:53:37" maxSheetId="10" userName="Цветелина Соракова" r:id="rId155" minRId="1214" maxRId="1241">
    <sheetIdMap count="9">
      <sheetId val="1"/>
      <sheetId val="2"/>
      <sheetId val="3"/>
      <sheetId val="4"/>
      <sheetId val="5"/>
      <sheetId val="6"/>
      <sheetId val="7"/>
      <sheetId val="8"/>
      <sheetId val="9"/>
    </sheetIdMap>
  </header>
  <header guid="{1803111C-F3B4-4066-BAC6-98973C0E5C2B}" dateTime="2022-09-12T16:58:46" maxSheetId="10" userName="Цветелина Соракова" r:id="rId156" minRId="1242" maxRId="1243">
    <sheetIdMap count="9">
      <sheetId val="1"/>
      <sheetId val="2"/>
      <sheetId val="3"/>
      <sheetId val="4"/>
      <sheetId val="5"/>
      <sheetId val="6"/>
      <sheetId val="7"/>
      <sheetId val="8"/>
      <sheetId val="9"/>
    </sheetIdMap>
  </header>
  <header guid="{6775AE11-1646-4EB2-8CC8-4DEF20D8DA50}" dateTime="2022-09-12T17:10:22" maxSheetId="10" userName="Цветелина Соракова" r:id="rId157" minRId="1244">
    <sheetIdMap count="9">
      <sheetId val="1"/>
      <sheetId val="2"/>
      <sheetId val="3"/>
      <sheetId val="4"/>
      <sheetId val="5"/>
      <sheetId val="6"/>
      <sheetId val="7"/>
      <sheetId val="8"/>
      <sheetId val="9"/>
    </sheetIdMap>
  </header>
  <header guid="{DF8BB15D-EF27-4F4B-BE16-CE47047D4562}" dateTime="2022-09-12T17:15:18" maxSheetId="10" userName="Цветелина Соракова" r:id="rId158" minRId="1254" maxRId="1290">
    <sheetIdMap count="9">
      <sheetId val="1"/>
      <sheetId val="2"/>
      <sheetId val="3"/>
      <sheetId val="4"/>
      <sheetId val="5"/>
      <sheetId val="6"/>
      <sheetId val="7"/>
      <sheetId val="8"/>
      <sheetId val="9"/>
    </sheetIdMap>
  </header>
  <header guid="{53468120-47B7-443D-A43D-8F905E47D69F}" dateTime="2022-09-12T17:16:41" maxSheetId="10" userName="Цветелина Соракова" r:id="rId159">
    <sheetIdMap count="9">
      <sheetId val="1"/>
      <sheetId val="2"/>
      <sheetId val="3"/>
      <sheetId val="4"/>
      <sheetId val="5"/>
      <sheetId val="6"/>
      <sheetId val="7"/>
      <sheetId val="8"/>
      <sheetId val="9"/>
    </sheetIdMap>
  </header>
  <header guid="{A2C3CCDA-7CAC-436D-93D8-F3F795C72F61}" dateTime="2022-09-12T17:16:50" maxSheetId="10" userName="Цветелина Соракова" r:id="rId160">
    <sheetIdMap count="9">
      <sheetId val="1"/>
      <sheetId val="2"/>
      <sheetId val="3"/>
      <sheetId val="4"/>
      <sheetId val="5"/>
      <sheetId val="6"/>
      <sheetId val="7"/>
      <sheetId val="8"/>
      <sheetId val="9"/>
    </sheetIdMap>
  </header>
  <header guid="{38B9E505-6C94-4A9A-9D34-DE377A9BF910}" dateTime="2022-09-12T17:17:09" maxSheetId="10" userName="Цветелина Соракова" r:id="rId161">
    <sheetIdMap count="9">
      <sheetId val="1"/>
      <sheetId val="2"/>
      <sheetId val="3"/>
      <sheetId val="4"/>
      <sheetId val="5"/>
      <sheetId val="6"/>
      <sheetId val="7"/>
      <sheetId val="8"/>
      <sheetId val="9"/>
    </sheetIdMap>
  </header>
  <header guid="{6EA11E92-98B3-4876-B575-CFA8D11F29E8}" dateTime="2022-09-13T12:27:17" maxSheetId="10" userName="Полина Личева" r:id="rId162" minRId="1300" maxRId="1301">
    <sheetIdMap count="9">
      <sheetId val="1"/>
      <sheetId val="2"/>
      <sheetId val="3"/>
      <sheetId val="4"/>
      <sheetId val="5"/>
      <sheetId val="6"/>
      <sheetId val="7"/>
      <sheetId val="8"/>
      <sheetId val="9"/>
    </sheetIdMap>
  </header>
  <header guid="{1EE1657B-053E-4FA6-AF17-4763E6A29AD4}" dateTime="2022-09-13T12:28:12" maxSheetId="10" userName="Полина Личева" r:id="rId163" minRId="1311">
    <sheetIdMap count="9">
      <sheetId val="1"/>
      <sheetId val="2"/>
      <sheetId val="3"/>
      <sheetId val="4"/>
      <sheetId val="5"/>
      <sheetId val="6"/>
      <sheetId val="7"/>
      <sheetId val="8"/>
      <sheetId val="9"/>
    </sheetIdMap>
  </header>
  <header guid="{875FA78E-D1F8-4E2A-A19A-9414BA37CDB2}" dateTime="2022-09-13T12:28:43" maxSheetId="10" userName="Полина Личева" r:id="rId164" minRId="1312" maxRId="1313">
    <sheetIdMap count="9">
      <sheetId val="1"/>
      <sheetId val="2"/>
      <sheetId val="3"/>
      <sheetId val="4"/>
      <sheetId val="5"/>
      <sheetId val="6"/>
      <sheetId val="7"/>
      <sheetId val="8"/>
      <sheetId val="9"/>
    </sheetIdMap>
  </header>
  <header guid="{AEE984DB-C8C9-4D13-81A4-E90E64FA8B2E}" dateTime="2022-09-13T14:21:52" maxSheetId="10" userName="Даниела Николова" r:id="rId165">
    <sheetIdMap count="9">
      <sheetId val="1"/>
      <sheetId val="2"/>
      <sheetId val="3"/>
      <sheetId val="4"/>
      <sheetId val="5"/>
      <sheetId val="6"/>
      <sheetId val="7"/>
      <sheetId val="8"/>
      <sheetId val="9"/>
    </sheetIdMap>
  </header>
  <header guid="{9B7D5EC6-F087-40C0-A786-C8BAEAD2331C}" dateTime="2022-09-13T15:39:17" maxSheetId="10" userName="Даниела Николова" r:id="rId166">
    <sheetIdMap count="9">
      <sheetId val="1"/>
      <sheetId val="2"/>
      <sheetId val="3"/>
      <sheetId val="4"/>
      <sheetId val="5"/>
      <sheetId val="6"/>
      <sheetId val="7"/>
      <sheetId val="8"/>
      <sheetId val="9"/>
    </sheetIdMap>
  </header>
  <header guid="{57F3053A-98CB-46DE-B43D-AB30DCA5D5B2}" dateTime="2022-09-13T15:50:46" maxSheetId="10" userName="Даниела Николова" r:id="rId167" minRId="1333">
    <sheetIdMap count="9">
      <sheetId val="1"/>
      <sheetId val="2"/>
      <sheetId val="3"/>
      <sheetId val="4"/>
      <sheetId val="5"/>
      <sheetId val="6"/>
      <sheetId val="7"/>
      <sheetId val="8"/>
      <sheetId val="9"/>
    </sheetIdMap>
  </header>
  <header guid="{96A70869-4967-423B-AEB5-5655057945D1}" dateTime="2022-09-13T15:51:50" maxSheetId="10" userName="Даниела Николова" r:id="rId168" minRId="1334">
    <sheetIdMap count="9">
      <sheetId val="1"/>
      <sheetId val="2"/>
      <sheetId val="3"/>
      <sheetId val="4"/>
      <sheetId val="5"/>
      <sheetId val="6"/>
      <sheetId val="7"/>
      <sheetId val="8"/>
      <sheetId val="9"/>
    </sheetIdMap>
  </header>
  <header guid="{B6F68F73-D2C4-46C7-97C6-300D5F23C04B}" dateTime="2022-09-13T16:41:43" maxSheetId="10" userName="Даниела Николова" r:id="rId169">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6"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nc>
  </rcc>
  <rcc rId="827" sId="4">
    <oc r="F15" t="inlineStr">
      <is>
        <t xml:space="preserve">Индикаторът не се отчита от бенефициента, а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с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is>
    </oc>
    <nc r="F15" t="inlineStr">
      <is>
        <t xml:space="preserve">Индикаторът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с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is>
    </nc>
  </rcc>
  <rcc rId="828" sId="4">
    <oc r="H15" t="inlineStr">
      <is>
        <t xml:space="preserve">1. Синхронизиране на извършваните от АОП контроли с тези извършвани от УО и ОО;
2. Подготовка на обучителен модул от ОО за обучение на служителите на АОП по сихронизираните правила;
3. Провеждане на обучение на всички служители на АОП, отговрни за извършването на предварителен контрол по процедури, финансирани от фондовете на РОР;
4. Надграждане на функционалността на ЦАИС ЕОП за филтриране на процедурите за ОП, финансирани от фондовете на РОР;
5. Въвеждане на отделна методологията на АОП само за процедури, финансирани от фондовете на РОР, чрез която се селектират процедури подлежащи на предварителен контрол,  
</t>
      </is>
    </oc>
    <nc r="H15" t="inlineStr">
      <is>
        <t xml:space="preserve">1. Синхронизиране на извършваните от АОП контроли и процедури с тези извършвани от УО и ОО;
2. Подготовка на обучителен модул от ОО за обучение на служителите на АОП по сихронизираните правила;
3. Провеждане на обучение на всички служители на АОП, отговрни за извършването на предварителен контрол по процедури, финансирани от фондовете на РОР;
4. Надграждане на функционалността на ЦАИС ЕОП за филтриране на процедурите за ОП, финансирани от фондовете на РОР;
5. Въвеждане на отделна методологията на АОП само за процедури, финансирани от фондовете на РОР, чрез която се селектират процедури подлежащи на предварителен контрол.
</t>
      </is>
    </nc>
  </rcc>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1"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покриват т.н. подготвителна фаза </t>
      </is>
    </oc>
    <nc r="E15" t="inlineStr">
      <is>
        <t>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нейното обявяване, т.е. формулиране на нейния предмет и избора на реда, по който тя ще бъде проведена, формулирането на критериите за подбор и възлагане, техническите спецификации и методиката за оценка, както и определянето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1" sId="4">
    <oc r="E15" t="inlineStr">
      <is>
        <t>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нейното обявяване, т.е. формулиране на нейния предмет и избора на реда, по който тя ще бъде проведена, формулирането на критериите за подбор и възлагане, техническите спецификации и методиката за оценка, както и определянето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избора на реда, по който тя ще бъде проведена, формулирането на критериите за подбор и възлагане, техническите спецификации и методиката за оценка, както и определянето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1"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избора на реда, по който тя ще бъде проведена, формулирането на критериите за подбор и възлагане, техническите спецификации и методиката за оценка, както и определянето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 </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2"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в структуриран вид в ИСУН).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2" sId="4">
    <oc r="F15" t="inlineStr">
      <is>
        <t xml:space="preserve">АОП предоставя информация на шестмесечна база за процента на процедурите, при които са спазени препоръките от първия етап на предварителен контрол. Делът се формира като съотношение между броя на ОП по проекти по програмите от СП, при които са спазени препоръките от първия етап на предварителен контрол и броя на всички ОП по проекти по програмите от СП проверени на втори етап.
Източник на информация е модул „Контрол“ в ЦАИС ЕОП, който ще бъде надградена функционалността за филтриране на процедури, финансирани от фондовете на РОР. 
Междинната и целевата стойност са формирани на база данните за 2019 г. и 2020 г., според които 41% от проверените на втория етап ОП са без несъответствия, макар на първия етап да са имали.
</t>
      </is>
    </oc>
    <nc r="F15" t="inlineStr">
      <is>
        <t xml:space="preserve">Индикаторът не се отчита от бенефициента, а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с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is>
    </nc>
  </rcc>
  <rcc rId="823" sId="4">
    <oc r="H15" t="inlineStr">
      <is>
        <t xml:space="preserve">1. Надграждане на функционалността на ЦАИС ЕОП за филтриране на процедурите за ОП, съ-финансирани от фондовете на РОР;
2. Анализ на причините, поради които възложителите не спазват дадените от АОП препоръки;
3. Подобряване на качеството на дадените от АОП препоръки и оптимизиране на процедурите за предварителен контрол
</t>
      </is>
    </oc>
    <nc r="H15" t="inlineStr">
      <is>
        <t xml:space="preserve">1. Синхронизиране на извършваните от АОП контроли с тези извършвани от УО и ОО;
2. Подготовка на обучителен модул от ОО за обучение на служителите на АОП по сихронизираните правила;
3. Провеждане на обучение на всички служители на АОП, отговрни за извършването на предварителен контрол по процедури, финансирани от фондовете на РОР;
4. Надграждане на функционалността на ЦАИС ЕОП за филтриране на процедурите за ОП, финансирани от фондовете на РОР;
5. Въвеждане на отделна методологията на АОП само за процедури, финансирани от фондовете на РОР, чрез която се селектират процедури подлежащи на предварителен контрол,  
</t>
      </is>
    </nc>
  </rcc>
  <rcc rId="824" sId="4">
    <oc r="I15" t="inlineStr">
      <is>
        <t>Подобрени процеси по управление и контрол на средствата от фондовете на РОР;
Намален брой на констатациите с висок риск;
Намален брой грешки, отчетени по програмите от СП.
Повишен процент на отстранени грешки, в следствие на подобрен предварителен контрол 
Повишаване на качеството на проверките, извършвани от АОП.</t>
      </is>
    </oc>
    <nc r="I15" t="inlineStr">
      <is>
        <t xml:space="preserve">Повишен процент на отстранени грешки, в следствие на подобрен предварителен контрол;
Повишаване на качеството на проверките, извършвани от АОП; 
Подобрени процеси по управление и контрол на средствата от фондовете на РОР;
Намален брой на констатациите с финансов изражение;
Намален брой грешки, отчетени по програмите от СП.
</t>
      </is>
    </nc>
  </rcc>
  <rfmt sheetId="4" sqref="K15:L15">
    <dxf>
      <fill>
        <patternFill>
          <bgColor rgb="FFFFFF00"/>
        </patternFill>
      </fill>
    </dxf>
  </rfmt>
  <rfmt sheetId="4" sqref="R15">
    <dxf>
      <fill>
        <patternFill patternType="solid">
          <bgColor rgb="FFFFFF00"/>
        </patternFill>
      </fill>
    </dxf>
  </rfmt>
  <rcc rId="825"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и за получаване/закупуване на документацията за участие.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9"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01.03.2020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4"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определена въз основа на налични в ИСУН данни за периода от 01.03.2020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8,21 % и е определена въз основа на налични в ИСУН данни за периода от 01.04.2020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3" sId="4" numFmtId="4">
    <oc r="R15">
      <v>20</v>
    </oc>
    <nc r="R15">
      <v>46</v>
    </nc>
  </rcc>
  <rcc rId="864" sId="4" numFmtId="4">
    <oc r="R30">
      <v>26</v>
    </oc>
    <nc r="R30">
      <v>0</v>
    </nc>
  </rcc>
  <rfmt sheetId="4" sqref="R30" start="0" length="2147483647">
    <dxf>
      <font>
        <color rgb="FFFF0000"/>
      </font>
    </dxf>
  </rfmt>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0" sId="5" numFmtId="4">
    <oc r="G7">
      <v>46</v>
    </oc>
    <nc r="G7">
      <v>8</v>
    </nc>
  </rcc>
  <rcc rId="831" sId="5" numFmtId="4">
    <oc r="U7">
      <v>50</v>
    </oc>
    <nc r="U7">
      <v>6</v>
    </nc>
  </rcc>
  <rcc rId="832" sId="4" numFmtId="4">
    <nc r="C15">
      <f>'Подробно разпределение '!P7</f>
    </nc>
  </rcc>
  <rcc rId="833" sId="4" numFmtId="4">
    <nc r="D15">
      <f>'Подробно разпределение '!AD7</f>
    </nc>
  </rcc>
  <rcc rId="834" sId="5">
    <oc r="B7" t="inlineStr">
      <is>
        <t xml:space="preserve">Дял процедури за възлагане на обществени поръчки, при които са спазени препоръките на АОП </t>
      </is>
    </oc>
    <nc r="B7" t="inlineStr">
      <is>
        <t>Дял на процедурите, преминали предварителен контрол от АОП, по които има наложена финансова корекция за нарушения в подготвителната фаза</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R15">
    <dxf>
      <fill>
        <patternFill>
          <bgColor theme="0"/>
        </patternFill>
      </fill>
    </dxf>
  </rfmt>
  <rcc rId="874" sId="4" numFmtId="4">
    <oc r="L15">
      <v>2061653.36</v>
    </oc>
    <nc r="L15">
      <v>3961802.722261501</v>
    </nc>
  </rcc>
  <rfmt sheetId="4" sqref="L15">
    <dxf>
      <fill>
        <patternFill>
          <bgColor theme="0"/>
        </patternFill>
      </fill>
    </dxf>
  </rfmt>
  <rcc rId="875" sId="4">
    <nc r="O15">
      <f>L15/1.9558</f>
    </nc>
  </rcc>
  <rfmt sheetId="4" sqref="K30:L30" start="0" length="2147483647">
    <dxf>
      <font>
        <color rgb="FFFF0000"/>
      </font>
    </dxf>
  </rfmt>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5" sId="4">
    <oc r="O15">
      <f>L15/1.9558</f>
    </oc>
    <nc r="O15"/>
  </rcc>
  <rcc rId="886" sId="4" numFmtId="4">
    <oc r="K15">
      <v>870143.18</v>
    </oc>
    <nc r="K15">
      <v>1672121.8</v>
    </nc>
  </rcc>
  <rcc rId="887" sId="4" numFmtId="4">
    <oc r="K16">
      <v>120621.58</v>
    </oc>
    <nc r="K16">
      <v>231794</v>
    </nc>
  </rcc>
  <rcc rId="888" sId="4" numFmtId="4">
    <oc r="K17">
      <v>749521.6</v>
    </oc>
    <nc r="K17">
      <v>1440327.8</v>
    </nc>
  </rcc>
  <rcc rId="889" sId="4" numFmtId="4">
    <oc r="L17">
      <v>1724631.51</v>
    </oc>
    <nc r="L17">
      <v>3314160.34</v>
    </nc>
  </rcc>
  <rcc rId="890" sId="4" numFmtId="4">
    <oc r="L16">
      <v>337021.85</v>
    </oc>
    <nc r="L16">
      <v>647642.38226150116</v>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K15">
    <dxf>
      <fill>
        <patternFill patternType="none">
          <bgColor auto="1"/>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1" sId="4" numFmtId="4">
    <oc r="L30">
      <v>40114333.719999999</v>
    </oc>
    <nc r="L30">
      <v>38214184.352052934</v>
    </nc>
  </rcc>
  <rcc rId="892" sId="4" numFmtId="4">
    <oc r="K30">
      <v>16930689.440000001</v>
    </oc>
    <nc r="K30">
      <v>16128710.809999999</v>
    </nc>
  </rcc>
  <rcc rId="893" sId="4" numFmtId="4">
    <oc r="K31">
      <v>2346977.54</v>
    </oc>
    <nc r="K31">
      <v>2235805.12</v>
    </nc>
  </rcc>
  <rcc rId="894" sId="4" numFmtId="4">
    <oc r="K32">
      <v>14583711.9</v>
    </oc>
    <nc r="K32">
      <v>13892905.689999999</v>
    </nc>
  </rcc>
  <rcc rId="895" sId="4" numFmtId="4">
    <oc r="L31">
      <v>6557555.8399999999</v>
    </oc>
    <nc r="L31">
      <v>6246935.3120529354</v>
    </nc>
  </rcc>
  <rcc rId="896" sId="4" numFmtId="4">
    <oc r="L32">
      <v>33556777.880000003</v>
    </oc>
    <nc r="L32">
      <v>31967249.039999999</v>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7" sId="4">
    <oc r="K70">
      <f>+K3+K6+K9+K12+K15+K18+K21+K24+K27+K30+K33+K36+K39+K42+K45+K48+K51+K54+K57+K60+K63+K66</f>
    </oc>
    <nc r="K70">
      <f>+K3+K6+K9+K12+K15+K18+K21+K24+K27+K30+K33+K36+K39+K42+K45+K48+K51+K54+K57+K60+K63+K66</f>
    </nc>
  </rcc>
  <rcc rId="898" sId="4" numFmtId="4">
    <oc r="K16">
      <v>231794</v>
    </oc>
    <nc r="K16">
      <v>231794.01</v>
    </nc>
  </rcc>
  <rcc rId="899" sId="4" numFmtId="4">
    <oc r="K15">
      <v>1672121.8</v>
    </oc>
    <nc r="K15">
      <v>1672121.81</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00" sId="4">
    <oc r="A15" t="inlineStr">
      <is>
        <t>(О1-5) Дял на процедурите, преминали предварителен контрол от АОП, по които има наложена финансова корекция за нарушения в подготвителната фаза</t>
      </is>
    </oc>
    <nc r="A15" t="inlineStr">
      <is>
        <t>(О1-5) Дял на процедурите, преминали предварителен контрол от АОП, по които няма наложена финансова корекция за нарушения в подготвителната фаза</t>
      </is>
    </nc>
  </rcc>
  <rcc rId="901" sId="4" numFmtId="4">
    <oc r="C15">
      <f>'Подробно разпределение '!P7</f>
    </oc>
    <nc r="C15">
      <v>92</v>
    </nc>
  </rcc>
  <rcc rId="902" sId="4" numFmtId="4">
    <oc r="D15">
      <f>'Подробно разпределение '!AD7</f>
    </oc>
    <nc r="D15">
      <v>94</v>
    </nc>
  </rcc>
  <rfmt sheetId="4" sqref="E14">
    <dxf>
      <numFmt numFmtId="169" formatCode="#,##0.0"/>
    </dxf>
  </rfmt>
  <rfmt sheetId="4" sqref="E14">
    <dxf>
      <numFmt numFmtId="4" formatCode="#,##0.00"/>
    </dxf>
  </rfmt>
  <rcc rId="903"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8,21 % и е определена въз основа на налични в ИСУН данни за периода от 01.04.2020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са свързани с подготовката на обществената поръчка за възлагане и обявяване, т.е. формулиране на нейния предмет и избор на реда, по който тя ще бъде проведена, формулиране на критериите за подбор и възлагане, техническите спецификации и методиката за оценка, както и определяне на сроковете за получаване на оферти. 
В този смисъл ще се измерва дали при процедурите, които е били обект на проверка от АОП са установени нарушения при последващ контрол от УО или ОО, свързани с подготовката на обществената поръчка за възлагане и обявяване.
Базовата стойност на индиактора е 91,79 % и е определена въз основа на налични в ИСУН данни за периода от 01.04.2020 до 31.08.2022 г. (след въвеждане на контролни листове за последващ контрол в структуриран вид в ИСУН). Към момнета на формиране на индикатора в ИСУН има налична информация само за наложените от УО финансови корекции. Т.е. в измерването на базовата стойност не са взети предвид наложените финансови корекции по предложение на ОО. </t>
      </is>
    </nc>
  </rcc>
  <rcc rId="904" sId="4">
    <oc r="F15" t="inlineStr">
      <is>
        <t xml:space="preserve">Индикаторът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с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is>
    </oc>
    <nc r="F15" t="inlineStr">
      <is>
        <t xml:space="preserve">Индикаторът се изчислява служебно от УО на ПТП два пъти годишно към 30 юни и 31 декември.
УО на ПТП изчислява текущата комулативна стойност на показателя на база наличната информация в ИСУН относно извършения последващ контрол и наложени финансови корекции от УО и ОО от началото на програмния период до текущия момент.
Текущата стойност на индикатора се изчислява по формулата: (брой на процедурите, преминали предварителен контрол от АОП без установени нарушения при последващ контрол от УО или ОО, свързани с подготовката на обществената поръчка за възлагане и обявяване)/(брой на процедурите, преминали предварителен контрол от АОП)*100%.
</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4" sId="5" numFmtId="4">
    <oc r="G7">
      <v>8</v>
    </oc>
    <nc r="G7">
      <v>92</v>
    </nc>
  </rcc>
  <rcc rId="915" sId="5" numFmtId="4">
    <oc r="U7">
      <v>6</v>
    </oc>
    <nc r="U7">
      <v>94</v>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16" sId="4" numFmtId="4">
    <oc r="C16">
      <v>46</v>
    </oc>
    <nc r="C16"/>
  </rcc>
  <rcc rId="917" sId="4" numFmtId="4">
    <oc r="D16">
      <v>50</v>
    </oc>
    <nc r="D16"/>
  </rcc>
  <rcc rId="918" sId="4" numFmtId="4">
    <oc r="C17">
      <v>46</v>
    </oc>
    <nc r="C17"/>
  </rcc>
  <rcc rId="919" sId="4" numFmtId="4">
    <oc r="D17">
      <v>50</v>
    </oc>
    <nc r="D17"/>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9" sId="4" xfDxf="1" s="1" dxf="1" numFmtId="4">
    <oc r="K3">
      <v>3071597.7</v>
    </oc>
    <nc r="K3">
      <v>3071597.71</v>
    </nc>
    <n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1" sqref="L3"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qref="K4"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30" sId="4" xfDxf="1" dxf="1" numFmtId="4">
    <oc r="L4">
      <v>1189684.18</v>
    </oc>
    <nc r="L4">
      <v>1189684.17</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31" sId="4" xfDxf="1" s="1" dxf="1" numFmtId="4">
    <oc r="K5">
      <v>2645804.61</v>
    </oc>
    <nc r="K5">
      <v>2645804.62</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32" sId="4" xfDxf="1" dxf="1" numFmtId="4">
    <oc r="L5">
      <v>6087934.1100000003</v>
    </oc>
    <nc r="L5">
      <v>6087934.1200000001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1" sqref="K6"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1" sqref="L6"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1" sqref="K7"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33" sId="4" xfDxf="1" dxf="1" numFmtId="4">
    <oc r="L7">
      <v>902781.21</v>
    </oc>
    <nc r="L7">
      <v>902781.2</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8"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34" sId="4" xfDxf="1" dxf="1" numFmtId="4">
    <oc r="L8">
      <v>4619774.37</v>
    </oc>
    <nc r="L8">
      <v>4619774.38</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1" sqref="K9"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1" sqref="L9" start="0" length="0">
    <dxf>
      <font>
        <b/>
        <i val="0"/>
        <strike val="0"/>
        <condense val="0"/>
        <extend val="0"/>
        <outline val="0"/>
        <shadow val="0"/>
        <u val="none"/>
        <vertAlign val="baseline"/>
        <sz val="9"/>
        <color auto="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1" sqref="K10"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35" sId="4" xfDxf="1" dxf="1" numFmtId="4">
    <oc r="L10">
      <v>2036230.3499999996</v>
    </oc>
    <nc r="L10">
      <v>2036230.33</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11"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36" sId="4" xfDxf="1" dxf="1" numFmtId="4">
    <oc r="L11">
      <v>10419938.640000001</v>
    </oc>
    <nc r="L11">
      <v>10419938.66</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37" sId="4" xfDxf="1" dxf="1" numFmtId="4">
    <oc r="K12">
      <v>5844325.1200000001</v>
    </oc>
    <nc r="K12">
      <v>5844325.1299999999</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12"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1" sqref="K13"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38" sId="4" xfDxf="1" dxf="1" numFmtId="4">
    <oc r="L13">
      <v>2263610.61</v>
    </oc>
    <nc r="L13">
      <v>2263610.59</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39" sId="4" xfDxf="1" s="1" dxf="1" numFmtId="4">
    <oc r="K14">
      <v>5034169.1100000003</v>
    </oc>
    <nc r="K14">
      <v>5034169.12</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40" sId="4" xfDxf="1" dxf="1" numFmtId="4">
    <oc r="L14">
      <v>11583504.630000001</v>
    </oc>
    <nc r="L14">
      <v>11583504.65</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15" start="0" length="0">
    <dxf>
      <font>
        <b/>
        <sz val="9"/>
        <color rgb="FFFF0000"/>
        <name val="Times New Roman"/>
        <scheme val="none"/>
      </font>
      <numFmt numFmtId="4" formatCode="#,##0.00"/>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41" sId="4" xfDxf="1" dxf="1" numFmtId="4">
    <oc r="L15">
      <v>3961802.722261501</v>
    </oc>
    <nc r="L15">
      <v>3961802.72</v>
    </nc>
    <ndxf>
      <font>
        <b/>
        <sz val="9"/>
        <color rgb="FFFF0000"/>
        <name val="Times New Roman"/>
        <scheme val="none"/>
      </font>
      <numFmt numFmtId="4" formatCode="#,##0.00"/>
      <fill>
        <patternFill patternType="solid">
          <bgColor theme="0"/>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1" sqref="K16"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42" sId="4" xfDxf="1" dxf="1" numFmtId="4">
    <oc r="L16">
      <v>647642.38226150116</v>
    </oc>
    <nc r="L16">
      <v>647642.37</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1" sqref="K17"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43" sId="4" xfDxf="1" dxf="1" numFmtId="4">
    <oc r="L17">
      <v>3314160.34</v>
    </oc>
    <nc r="L17">
      <v>3314160.35</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18"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L18"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44" sId="4" xfDxf="1" dxf="1" numFmtId="4">
    <oc r="K19">
      <v>248485.95</v>
    </oc>
    <nc r="K19">
      <v>248485.96</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19"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45" sId="4" xfDxf="1" dxf="1" numFmtId="4">
    <oc r="K20">
      <v>1544048.67</v>
    </oc>
    <nc r="K20">
      <v>1544048.66</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20"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K21"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L21"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46" sId="4" xfDxf="1" s="1" dxf="1" numFmtId="4">
    <oc r="K22">
      <v>779353.39</v>
    </oc>
    <nc r="K22">
      <v>779353.4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47" sId="4" xfDxf="1" dxf="1" numFmtId="4">
    <oc r="L22">
      <v>2177546.77</v>
    </oc>
    <nc r="L22">
      <v>2177546.7599999998</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48" sId="4" xfDxf="1" s="1" dxf="1" numFmtId="4">
    <oc r="K23">
      <v>4842766.99</v>
    </oc>
    <nc r="K23">
      <v>4842766.9800000004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49" sId="4" xfDxf="1" dxf="1" numFmtId="4">
    <oc r="L23">
      <v>11143092.83</v>
    </oc>
    <nc r="L23">
      <v>11143092.84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50" sId="4" xfDxf="1" dxf="1" numFmtId="4">
    <oc r="K24">
      <v>6013696.3099999996</v>
    </oc>
    <nc r="K24">
      <v>6013696.29</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24"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51" sId="4" xfDxf="1" s="1" dxf="1" numFmtId="4">
    <oc r="K25">
      <v>833634.7</v>
    </oc>
    <nc r="K25">
      <v>833634.69</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52" sId="4" xfDxf="1" dxf="1" numFmtId="4">
    <oc r="L25">
      <v>2329211.0699999998</v>
    </oc>
    <nc r="L25">
      <v>2329211.0499999998</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53" sId="4" xfDxf="1" s="1" dxf="1" numFmtId="4">
    <oc r="K26">
      <v>5180061.6100000003</v>
    </oc>
    <nc r="K26">
      <v>5180061.5999999996</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54" sId="4" xfDxf="1" dxf="1" numFmtId="4">
    <oc r="L26">
      <v>11919199.82</v>
    </oc>
    <nc r="L26">
      <v>11919199.84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55" sId="4" xfDxf="1" dxf="1" numFmtId="4">
    <oc r="K27">
      <v>6013696.3099999996</v>
    </oc>
    <nc r="K27">
      <v>6013696.29</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27"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56" sId="4" xfDxf="1" s="1" dxf="1" numFmtId="4">
    <oc r="K28">
      <v>833634.7</v>
    </oc>
    <nc r="K28">
      <v>833634.69</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57" sId="4" xfDxf="1" dxf="1" numFmtId="4">
    <oc r="L28">
      <v>2329211.0699999998</v>
    </oc>
    <nc r="L28">
      <v>2329211.0499999998</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58" sId="4" xfDxf="1" s="1" dxf="1" numFmtId="4">
    <oc r="K29">
      <v>5180061.6100000003</v>
    </oc>
    <nc r="K29">
      <v>5180061.5999999996</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59" sId="4" xfDxf="1" dxf="1" numFmtId="4">
    <oc r="L29">
      <v>11919199.82</v>
    </oc>
    <nc r="L29">
      <v>11919199.84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0" sId="4" xfDxf="1" s="1" dxf="1" numFmtId="4">
    <oc r="K30">
      <v>16128710.809999999</v>
    </oc>
    <nc r="K30">
      <v>16128710.800000001</v>
    </nc>
    <ndxf>
      <font>
        <b/>
        <i val="0"/>
        <strike val="0"/>
        <condense val="0"/>
        <extend val="0"/>
        <outline val="0"/>
        <shadow val="0"/>
        <u val="none"/>
        <vertAlign val="baseline"/>
        <sz val="9"/>
        <color rgb="FFFF0000"/>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61" sId="4" xfDxf="1" s="1" dxf="1" numFmtId="4">
    <oc r="L30">
      <v>38214184.352052934</v>
    </oc>
    <nc r="L30">
      <v>38214184.350000001</v>
    </nc>
    <ndxf>
      <font>
        <b/>
        <i val="0"/>
        <strike val="0"/>
        <condense val="0"/>
        <extend val="0"/>
        <outline val="0"/>
        <shadow val="0"/>
        <u val="none"/>
        <vertAlign val="baseline"/>
        <sz val="9"/>
        <color rgb="FFFF0000"/>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62" sId="4" xfDxf="1" dxf="1" numFmtId="4">
    <oc r="K31">
      <v>2235805.12</v>
    </oc>
    <nc r="K31">
      <v>2235805.1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3" sId="4" xfDxf="1" dxf="1" numFmtId="4">
    <oc r="L31">
      <v>6246935.3120529354</v>
    </oc>
    <nc r="L31">
      <v>6246935.2599999998</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4" sId="4" xfDxf="1" dxf="1" numFmtId="4">
    <oc r="K32">
      <v>13892905.689999999</v>
    </oc>
    <nc r="K32">
      <v>13892905.699999999</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5" sId="4" xfDxf="1" dxf="1" numFmtId="4">
    <oc r="L32">
      <v>31967249.039999999</v>
    </oc>
    <nc r="L32">
      <v>31967249.09</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6" sId="4" xfDxf="1" s="1" dxf="1" numFmtId="4">
    <oc r="K33">
      <v>4105664.3899999997</v>
    </oc>
    <nc r="K33">
      <v>4105664.39</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qref="L33"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67" sId="4" xfDxf="1" s="1" dxf="1" numFmtId="4">
    <oc r="K34">
      <v>569138.19999999995</v>
    </oc>
    <nc r="K34">
      <v>569138.18999999994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68" sId="4" xfDxf="1" dxf="1" numFmtId="4">
    <oc r="L34">
      <v>1590196.52</v>
    </oc>
    <nc r="L34">
      <v>1590196.5</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69" sId="4" xfDxf="1" s="1" dxf="1" numFmtId="4">
    <oc r="K35">
      <v>3536526.19</v>
    </oc>
    <nc r="K35">
      <v>3536526.2</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70" sId="4" xfDxf="1" dxf="1" numFmtId="4">
    <oc r="L35">
      <v>8137463.5</v>
    </oc>
    <nc r="L35">
      <v>8137463.5199999996</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1" sqref="K36" start="0" length="0">
    <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qref="L36"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71" sId="4" xfDxf="1" s="1" dxf="1" numFmtId="4">
    <oc r="K37">
      <v>880097.35</v>
    </oc>
    <nc r="K37">
      <v>880097.34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72" sId="4" xfDxf="1" dxf="1" numFmtId="4">
    <oc r="L37">
      <v>2459029.71</v>
    </oc>
    <nc r="L37">
      <v>2459029.69</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73" sId="4" xfDxf="1" s="1" dxf="1" numFmtId="4">
    <oc r="K38">
      <v>5468772.4800000004</v>
    </oc>
    <nc r="K38">
      <v>5468772.4900000002</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74" sId="4" xfDxf="1" dxf="1" numFmtId="4">
    <oc r="L38">
      <v>12583516.779999999</v>
    </oc>
    <nc r="L38">
      <v>12583516.800000001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75" sId="4" xfDxf="1" s="1" dxf="1" numFmtId="4">
    <oc r="K39">
      <v>4158565.77</v>
    </oc>
    <nc r="K39">
      <v>4158565.78</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qref="L39"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1" sqref="K40" start="0" length="0">
    <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76" sId="4" xfDxf="1" dxf="1" numFmtId="4">
    <oc r="L40">
      <v>1610686.17</v>
    </oc>
    <nc r="L40">
      <v>1610686.15</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77" sId="4" xfDxf="1" s="1" dxf="1" numFmtId="4">
    <oc r="K41">
      <v>3582094.24</v>
    </oc>
    <nc r="K41">
      <v>3582094.25</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78" sId="4" xfDxf="1" dxf="1" numFmtId="4">
    <oc r="L41">
      <v>8242314.5499999998</v>
    </oc>
    <nc r="L41">
      <v>8242314.5700000003</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79" sId="4" xfDxf="1" s="1" dxf="1" numFmtId="4">
    <oc r="K42">
      <v>3095076.88</v>
    </oc>
    <nc r="K42">
      <v>3095076.87</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1" sqref="L42" start="0" length="0">
    <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cc rId="980" sId="4" xfDxf="1" dxf="1" numFmtId="4">
    <oc r="K43">
      <v>429047.85</v>
    </oc>
    <nc r="K43">
      <v>429047.84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81" sId="4" xfDxf="1" s="1" dxf="1" numFmtId="4">
    <oc r="L43">
      <v>1198778.08</v>
    </oc>
    <nc r="L43">
      <v>1198778.07</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qref="K44"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82" sId="4" xfDxf="1" s="1" dxf="1" numFmtId="4">
    <oc r="L44">
      <v>6134470.04</v>
    </oc>
    <nc r="L44">
      <v>6134470.0499999998</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1" sqref="K45" start="0" length="0">
    <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1" sqref="L45" start="0" length="0">
    <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rfmt>
  <rfmt sheetId="4" xfDxf="1" sqref="K46"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83" sId="4" xfDxf="1" s="1" dxf="1" numFmtId="4">
    <oc r="L46">
      <v>915427.24</v>
    </oc>
    <nc r="L46">
      <v>915427.23</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qref="K47"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84" sId="4" xfDxf="1" s="1" dxf="1" numFmtId="4">
    <oc r="L47">
      <v>4684487.54</v>
    </oc>
    <nc r="L47">
      <v>4684487.55</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85" sId="4" xfDxf="1" s="1" dxf="1" numFmtId="4">
    <oc r="K48">
      <v>5458581.6100000003</v>
    </oc>
    <nc r="K48">
      <v>5458581.6200000001</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fmt sheetId="4" xfDxf="1" sqref="L48"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K49"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86" sId="4" xfDxf="1" dxf="1" numFmtId="4">
    <oc r="L49">
      <v>2114205.3199999998</v>
    </oc>
    <nc r="L49">
      <v>2114205.31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87" sId="4" xfDxf="1" dxf="1" numFmtId="4">
    <oc r="K50">
      <v>4701898.4000000004</v>
    </oc>
    <nc r="K50">
      <v>4701898.41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88" sId="4" xfDxf="1" dxf="1" numFmtId="4">
    <oc r="L50">
      <v>10818957.58</v>
    </oc>
    <nc r="L50">
      <v>10818957.59</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51"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L51" start="0" length="0">
    <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89" sId="4" xfDxf="1" dxf="1" numFmtId="4">
    <oc r="K52">
      <v>464147.19</v>
    </oc>
    <nc r="K52">
      <v>464147.17</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90" sId="4" xfDxf="1" dxf="1" numFmtId="4">
    <oc r="L52">
      <v>1296847.1299999999</v>
    </oc>
    <nc r="L52">
      <v>1296847.1200000001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91" sId="4" xfDxf="1" dxf="1" numFmtId="4">
    <oc r="K53">
      <v>2884130.22</v>
    </oc>
    <nc r="K53">
      <v>2884130.24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92" sId="4" xfDxf="1" dxf="1" numFmtId="4">
    <oc r="L53">
      <v>6636315.7699999996</v>
    </oc>
    <nc r="L53">
      <v>6636315.7800000003</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54" start="0" length="0">
    <dxf>
      <font>
        <b/>
        <sz val="9"/>
        <color rgb="FFFF0000"/>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L54" start="0" length="0">
    <dxf>
      <font>
        <b/>
        <sz val="9"/>
        <color rgb="FFFF0000"/>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K55"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93" sId="4" xfDxf="1" dxf="1" numFmtId="4">
    <oc r="L55">
      <v>130777.31000000006</v>
    </oc>
    <nc r="L55">
      <v>130777.31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K56"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fmt sheetId="4" xfDxf="1" sqref="L56" start="0" length="0">
    <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94" sId="4" xfDxf="1" dxf="1" numFmtId="4">
    <oc r="K57">
      <v>4720310.8899999997</v>
    </oc>
    <nc r="K57">
      <v>4720310.88</v>
    </nc>
    <ndxf>
      <font>
        <b/>
        <sz val="9"/>
        <color auto="1"/>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fmt sheetId="4" xfDxf="1" sqref="L57" start="0" length="0">
    <dxf>
      <font>
        <b/>
        <sz val="9"/>
        <color auto="1"/>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dxf>
  </rfmt>
  <rcc rId="995" sId="4" xfDxf="1" s="1" dxf="1" numFmtId="4">
    <oc r="K58">
      <v>654342.15</v>
    </oc>
    <nc r="K58">
      <v>654342.12</v>
    </nc>
    <ndxf>
      <font>
        <b val="0"/>
        <i/>
        <strike val="0"/>
        <condense val="0"/>
        <extend val="0"/>
        <outline val="0"/>
        <shadow val="0"/>
        <u val="none"/>
        <vertAlign val="baseline"/>
        <sz val="9"/>
        <color auto="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96" sId="4" xfDxf="1" dxf="1" numFmtId="4">
    <oc r="L58">
      <v>1828260</v>
    </oc>
    <nc r="L58">
      <v>1828259.98</v>
    </nc>
    <ndxf>
      <font>
        <i/>
        <sz val="9"/>
        <color auto="1"/>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97" sId="4" xfDxf="1" s="1" dxf="1" numFmtId="4">
    <oc r="K59">
      <v>4065968.74</v>
    </oc>
    <nc r="K59">
      <v>4065968.76</v>
    </nc>
    <ndxf>
      <font>
        <b val="0"/>
        <i/>
        <strike val="0"/>
        <condense val="0"/>
        <extend val="0"/>
        <outline val="0"/>
        <shadow val="0"/>
        <u val="none"/>
        <vertAlign val="baseline"/>
        <sz val="9"/>
        <color auto="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998" sId="4" xfDxf="1" dxf="1" numFmtId="4">
    <oc r="L59">
      <v>9355698.3900000006</v>
    </oc>
    <nc r="L59">
      <v>9355698.4100000001</v>
    </nc>
    <ndxf>
      <font>
        <i/>
        <sz val="9"/>
        <color auto="1"/>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999" sId="4" xfDxf="1" dxf="1" numFmtId="4">
    <oc r="K60">
      <v>4198693.6900000004</v>
    </oc>
    <nc r="K60">
      <v>4198693.7</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0" sId="4" xfDxf="1" dxf="1" numFmtId="4">
    <oc r="L60">
      <v>9948076.8500000015</v>
    </oc>
    <nc r="L60">
      <v>9948076.8499999996</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1" sId="4" xfDxf="1" s="1" dxf="1" numFmtId="4">
    <oc r="K61">
      <v>582034.17000000004</v>
    </oc>
    <nc r="K61">
      <v>582034.16</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1002" sId="4" xfDxf="1" dxf="1" numFmtId="4">
    <oc r="L61">
      <v>1626228.42</v>
    </oc>
    <nc r="L61">
      <v>1626228.41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3" sId="4" xfDxf="1" s="1" dxf="1" numFmtId="4">
    <oc r="K62">
      <v>3616659.52</v>
    </oc>
    <nc r="K62">
      <v>3616659.54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1004" sId="4" xfDxf="1" dxf="1" numFmtId="4">
    <oc r="L62">
      <v>8321848.4300000006</v>
    </oc>
    <nc r="L62">
      <v>8321848.4400000004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5" sId="4" xfDxf="1" s="1" dxf="1" numFmtId="4">
    <oc r="K63">
      <v>4198693.6900000004</v>
    </oc>
    <nc r="K63">
      <v>4198693.7</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1006" sId="4" xfDxf="1" dxf="1" numFmtId="4">
    <oc r="L63">
      <v>9948076.8500000015</v>
    </oc>
    <nc r="L63">
      <v>9948076.8499999996</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7" sId="4" xfDxf="1" s="1" dxf="1" numFmtId="4">
    <oc r="K64">
      <v>582034.17000000004</v>
    </oc>
    <nc r="K64">
      <v>582034.16</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1008" sId="4" xfDxf="1" dxf="1" numFmtId="4">
    <oc r="L64">
      <v>1626228.4182402091</v>
    </oc>
    <nc r="L64">
      <v>1626228.41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09" sId="4" xfDxf="1" s="1" dxf="1" numFmtId="4">
    <oc r="K65">
      <v>3616659.52</v>
    </oc>
    <nc r="K65">
      <v>3616659.54</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ndxf>
  </rcc>
  <rcc rId="1010" sId="4" xfDxf="1" dxf="1" numFmtId="4">
    <oc r="L65">
      <v>8321848.4300000006</v>
    </oc>
    <nc r="L65">
      <v>8321848.4400000004</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11" sId="4" xfDxf="1" s="1" dxf="1" numFmtId="4">
    <oc r="K66">
      <v>4198693.6900000004</v>
    </oc>
    <nc r="K66">
      <v>4198693.7</v>
    </nc>
    <ndxf>
      <font>
        <b/>
        <i val="0"/>
        <strike val="0"/>
        <condense val="0"/>
        <extend val="0"/>
        <outline val="0"/>
        <shadow val="0"/>
        <u val="none"/>
        <vertAlign val="baseline"/>
        <sz val="9"/>
        <color theme="1"/>
        <name val="Times New Roman"/>
        <scheme val="none"/>
      </font>
      <numFmt numFmtId="4" formatCode="#,##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border>
    </ndxf>
  </rcc>
  <rcc rId="1012" sId="4" xfDxf="1" dxf="1" numFmtId="4">
    <oc r="L66">
      <v>9948076.8500000015</v>
    </oc>
    <nc r="L66">
      <v>9948078.8100000005</v>
    </nc>
    <ndxf>
      <font>
        <b/>
        <sz val="9"/>
        <name val="Times New Roman"/>
        <scheme val="none"/>
      </font>
      <numFmt numFmtId="4" formatCode="#,##0.00"/>
      <fill>
        <patternFill patternType="solid">
          <bgColor theme="0" tint="-0.14999847407452621"/>
        </patternFill>
      </fill>
      <alignment vertical="center" wrapText="1" readingOrder="0"/>
      <border outline="0">
        <left style="thin">
          <color theme="0" tint="-0.499984740745262"/>
        </left>
        <right style="thin">
          <color theme="0" tint="-0.499984740745262"/>
        </right>
        <top style="thin">
          <color theme="0" tint="-0.499984740745262"/>
        </top>
      </border>
    </ndxf>
  </rcc>
  <rcc rId="1013" sId="4" xfDxf="1" s="1" dxf="1" numFmtId="4">
    <oc r="K67">
      <v>582034.17000000004</v>
    </oc>
    <nc r="K67">
      <v>582034.28</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014" sId="4" xfDxf="1" dxf="1" numFmtId="4">
    <oc r="L67">
      <v>1626228.4182402091</v>
    </oc>
    <nc r="L67">
      <v>1626228.73</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15" sId="4" xfDxf="1" s="1" dxf="1" numFmtId="4">
    <oc r="K68">
      <v>3616659.52</v>
    </oc>
    <nc r="K68">
      <v>3616659.42</v>
    </nc>
    <ndxf>
      <font>
        <b val="0"/>
        <i/>
        <strike val="0"/>
        <condense val="0"/>
        <extend val="0"/>
        <outline val="0"/>
        <shadow val="0"/>
        <u val="none"/>
        <vertAlign val="baseline"/>
        <sz val="9"/>
        <color theme="1"/>
        <name val="Times New Roman"/>
        <scheme val="none"/>
      </font>
      <numFmt numFmtId="4" formatCode="#,##0.00"/>
      <fill>
        <patternFill patternType="solid">
          <fgColor indexed="64"/>
          <bgColor theme="9"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ndxf>
  </rcc>
  <rcc rId="1016" sId="4" xfDxf="1" dxf="1" numFmtId="4">
    <oc r="L68">
      <v>8321848.4300000006</v>
    </oc>
    <nc r="L68">
      <v>8321850.0800000001</v>
    </nc>
    <ndxf>
      <font>
        <i/>
        <sz val="9"/>
        <name val="Times New Roman"/>
        <scheme val="none"/>
      </font>
      <numFmt numFmtId="4" formatCode="#,##0.00"/>
      <fill>
        <patternFill patternType="solid">
          <bgColor theme="9" tint="0.79998168889431442"/>
        </patternFill>
      </fill>
      <alignment vertical="top" wrapText="1" readingOrder="0"/>
      <border outline="0">
        <left style="thin">
          <color theme="0" tint="-0.499984740745262"/>
        </left>
        <right style="thin">
          <color theme="0" tint="-0.499984740745262"/>
        </right>
        <top style="thin">
          <color theme="0" tint="-0.499984740745262"/>
        </top>
        <bottom style="thin">
          <color theme="0" tint="-0.499984740745262"/>
        </bottom>
      </border>
    </ndxf>
  </rcc>
  <rcc rId="1017" sId="2" numFmtId="4">
    <oc r="J8">
      <v>15243262</v>
    </oc>
    <nc r="J8">
      <v>15243263</v>
    </nc>
  </rcc>
  <rfmt sheetId="2" sqref="M7:M11">
    <dxf>
      <numFmt numFmtId="167" formatCode="0.000%"/>
    </dxf>
  </rfmt>
  <rfmt sheetId="2" sqref="M7:M11">
    <dxf>
      <numFmt numFmtId="173" formatCode="0.0000%"/>
    </dxf>
  </rfmt>
  <rfmt sheetId="2" sqref="M7:M11">
    <dxf>
      <numFmt numFmtId="174" formatCode="0.00000%"/>
    </dxf>
  </rfmt>
  <rfmt sheetId="2" sqref="M7:M11">
    <dxf>
      <numFmt numFmtId="170" formatCode="0.000000%"/>
    </dxf>
  </rfmt>
  <rfmt sheetId="2" sqref="M7:M11">
    <dxf>
      <numFmt numFmtId="175" formatCode="0.0000000%"/>
    </dxf>
  </rfmt>
  <rfmt sheetId="2" sqref="M7:M11">
    <dxf>
      <numFmt numFmtId="176" formatCode="0.00000000%"/>
    </dxf>
  </rfmt>
  <rfmt sheetId="4" sqref="K75:L91">
    <dxf>
      <numFmt numFmtId="169" formatCode="#,##0.0"/>
    </dxf>
  </rfmt>
  <rfmt sheetId="4" sqref="K75:L91">
    <dxf>
      <numFmt numFmtId="3" formatCode="#,##0"/>
    </dxf>
  </rfmt>
  <rcv guid="{13EBDE9D-EC74-4522-9EED-363E735B4A78}" action="delete"/>
  <rdn rId="0" localSheetId="1" customView="1" name="Z_13EBDE9D_EC74_4522_9EED_363E735B4A78_.wvu.PrintArea" hidden="1" oldHidden="1">
    <formula>'Финансови бюджетни '!$A$4:$L$16</formula>
    <oldFormula>'Финансови бюджетни '!$A$4:$L$16</oldFormula>
  </rdn>
  <rdn rId="0" localSheetId="2" customView="1" name="Z_13EBDE9D_EC74_4522_9EED_363E735B4A78_.wvu.PrintArea" hidden="1" oldHidden="1">
    <formula>'Финансов план на ПТП'!$A$2:$M$18</formula>
    <oldFormula>'Финансов план на ПТП'!$A$2:$M$18</oldFormula>
  </rdn>
  <rdn rId="0" localSheetId="3" customView="1" name="Z_13EBDE9D_EC74_4522_9EED_363E735B4A78_.wvu.PrintArea" hidden="1" oldHidden="1">
    <formula>'ОПНО_визия евро'!$A$1:$O$30</formula>
    <oldFormula>'ОПНО_визия евро'!$A$1:$O$30</oldFormula>
  </rdn>
  <rdn rId="0" localSheetId="4" customView="1" name="Z_13EBDE9D_EC74_4522_9EED_363E735B4A78_.wvu.PrintArea" hidden="1" oldHidden="1">
    <formula>'ПОКАЗАТЕЛИ ПТП '!$A$1:$S$68</formula>
    <oldFormula>'ПОКАЗАТЕЛИ ПТП '!$A$1:$S$68</oldFormula>
  </rdn>
  <rdn rId="0" localSheetId="4" customView="1" name="Z_13EBDE9D_EC74_4522_9EED_363E735B4A78_.wvu.FilterData" hidden="1" oldHidden="1">
    <formula>'ПОКАЗАТЕЛИ ПТП '!$A$1:$M$70</formula>
    <oldFormula>'ПОКАЗАТЕЛИ ПТП '!$A$1:$M$70</oldFormula>
  </rdn>
  <rdn rId="0" localSheetId="7" customView="1" name="Z_13EBDE9D_EC74_4522_9EED_363E735B4A78_.wvu.PrintArea" hidden="1" oldHidden="1">
    <formula>П3_Наука_Инфраструктура!$A$1:$L$16</formula>
    <oldFormula>П3_Наука_Инфраструктура!$A$1:$L$16</oldFormula>
  </rdn>
  <rdn rId="0" localSheetId="8" customView="1" name="Z_13EBDE9D_EC74_4522_9EED_363E735B4A78_.wvu.PrintArea" hidden="1" oldHidden="1">
    <formula>'П3_Наука Изследвания'!$A$1:$M$14</formula>
    <oldFormula>'П3_Наука Изследвания'!$A$1:$M$14</oldFormula>
  </rdn>
  <rdn rId="0" localSheetId="9" customView="1" name="Z_13EBDE9D_EC74_4522_9EED_363E735B4A78_.wvu.PrintArea" hidden="1" oldHidden="1">
    <formula>П3_Наука_Хоризонт!$A$1:$M$18</formula>
    <oldFormula>П3_Наука_Хоризонт!$A$1:$M$18</oldFormula>
  </rdn>
  <rdn rId="0" localSheetId="9" customView="1" name="Z_13EBDE9D_EC74_4522_9EED_363E735B4A78_.wvu.Cols" hidden="1" oldHidden="1">
    <formula>П3_Наука_Хоризонт!$N:$O</formula>
    <oldFormula>П3_Наука_Хоризонт!$N:$O</oldFormula>
  </rdn>
  <rcv guid="{13EBDE9D-EC74-4522-9EED-363E735B4A78}"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5" sqref="F1:F1048576" start="0" length="2147483647">
    <dxf>
      <font>
        <color rgb="FFFF0000"/>
      </font>
    </dxf>
  </rfmt>
  <rfmt sheetId="5" sqref="T1:T1048576" start="0" length="2147483647">
    <dxf>
      <font>
        <color rgb="FFFF0000"/>
      </font>
    </dxf>
  </rfmt>
  <rcc rId="1027" sId="5" numFmtId="4">
    <oc r="T12">
      <v>15</v>
    </oc>
    <nc r="T12">
      <v>9.6</v>
    </nc>
  </rcc>
  <rfmt sheetId="5" sqref="T2:U10" start="0" length="2147483647">
    <dxf>
      <font>
        <color auto="1"/>
      </font>
    </dxf>
  </rfmt>
  <rcc rId="1028" sId="5" numFmtId="4">
    <oc r="U12">
      <v>29.67</v>
    </oc>
    <nc r="U12">
      <v>18.8</v>
    </nc>
  </rcc>
  <rfmt sheetId="5" sqref="T12" start="0" length="2147483647">
    <dxf>
      <font>
        <color auto="1"/>
      </font>
    </dxf>
  </rfmt>
  <rfmt sheetId="5" sqref="T13:T14" start="0" length="2147483647">
    <dxf>
      <font>
        <color auto="1"/>
      </font>
    </dxf>
  </rfmt>
  <rfmt sheetId="5" sqref="T12">
    <dxf>
      <fill>
        <patternFill>
          <bgColor rgb="FFFFFF00"/>
        </patternFill>
      </fill>
    </dxf>
  </rfmt>
  <rfmt sheetId="5" sqref="U12">
    <dxf>
      <fill>
        <patternFill>
          <bgColor rgb="FFFFFF00"/>
        </patternFill>
      </fill>
    </dxf>
  </rfmt>
  <rcc rId="1029" sId="5" odxf="1" dxf="1" numFmtId="4">
    <oc r="F12">
      <v>15</v>
    </oc>
    <nc r="F12">
      <v>9.6</v>
    </nc>
    <odxf>
      <font>
        <color rgb="FFFF0000"/>
        <name val="Times New Roman"/>
        <scheme val="none"/>
      </font>
      <fill>
        <patternFill>
          <bgColor theme="7" tint="0.79998168889431442"/>
        </patternFill>
      </fill>
    </odxf>
    <ndxf>
      <font>
        <color auto="1"/>
        <name val="Times New Roman"/>
        <scheme val="none"/>
      </font>
      <fill>
        <patternFill>
          <bgColor rgb="FFFFFF00"/>
        </patternFill>
      </fill>
    </ndxf>
  </rcc>
  <rcc rId="1030" sId="5" odxf="1" dxf="1" numFmtId="4">
    <oc r="G12">
      <v>29.67</v>
    </oc>
    <nc r="G12">
      <v>18.8</v>
    </nc>
    <odxf>
      <fill>
        <patternFill>
          <bgColor theme="7" tint="0.79998168889431442"/>
        </patternFill>
      </fill>
    </odxf>
    <ndxf>
      <fill>
        <patternFill>
          <bgColor rgb="FFFFFF00"/>
        </patternFill>
      </fill>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8" sId="5" numFmtId="4">
    <nc r="J17">
      <v>10</v>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L1:L1048576">
    <dxf>
      <fill>
        <patternFill>
          <bgColor rgb="FFFFFF00"/>
        </patternFill>
      </fill>
    </dxf>
  </rfmt>
  <rfmt sheetId="4" sqref="L69:L160">
    <dxf>
      <fill>
        <patternFill>
          <bgColor theme="0"/>
        </patternFill>
      </fill>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1" sId="4" numFmtId="4">
    <oc r="R12">
      <v>15</v>
    </oc>
    <nc r="R12">
      <v>0</v>
    </nc>
  </rcc>
  <rcc rId="1032" sId="4" numFmtId="4">
    <oc r="R15">
      <v>46</v>
    </oc>
    <nc r="R15">
      <v>61</v>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3" sId="4" numFmtId="4">
    <oc r="L4">
      <v>1189684.17</v>
    </oc>
    <nc r="L4">
      <v>975379.99000000022</v>
    </nc>
  </rcc>
  <rcc rId="1034" sId="4" numFmtId="4">
    <oc r="L3">
      <v>7277618.29</v>
    </oc>
    <nc r="L3">
      <v>7063314.1100000003</v>
    </nc>
  </rcc>
  <rcc rId="1035" sId="4" numFmtId="4">
    <oc r="L9">
      <v>12456168.99</v>
    </oc>
    <nc r="L9">
      <v>12027560.640000001</v>
    </nc>
  </rcc>
  <rcc rId="1036" sId="4" numFmtId="4">
    <oc r="L10">
      <v>2036230.33</v>
    </oc>
    <nc r="L10">
      <v>1607621.9800000004</v>
    </nc>
  </rcc>
  <rcc rId="1037" sId="4" numFmtId="4">
    <oc r="L12">
      <v>13847115.24</v>
    </oc>
    <nc r="L12">
      <v>12513571.5</v>
    </nc>
  </rcc>
  <rcc rId="1038" sId="4" numFmtId="4">
    <oc r="L13">
      <v>2263610.59</v>
    </oc>
    <nc r="L13">
      <v>930066.84999999963</v>
    </nc>
  </rcc>
  <rcc rId="1039" sId="4" numFmtId="4">
    <oc r="L15">
      <v>3961802.72</v>
    </oc>
    <nc r="L15">
      <v>3408566.93</v>
    </nc>
  </rcc>
  <rcc rId="1040" sId="4" numFmtId="4">
    <oc r="L16">
      <v>647642.37</v>
    </oc>
    <nc r="L16">
      <v>94406.580000000075</v>
    </nc>
  </rcc>
  <rcc rId="1041" sId="4" numFmtId="4">
    <oc r="L25">
      <v>2329211.0499999998</v>
    </oc>
    <nc r="L25">
      <v>2329211.0500000007</v>
    </nc>
  </rcc>
  <rcc rId="1042" sId="4" numFmtId="4">
    <oc r="L30">
      <v>38214184.350000001</v>
    </oc>
    <nc r="L30">
      <v>37486452.939999998</v>
    </nc>
  </rcc>
  <rcc rId="1043" sId="4" numFmtId="4">
    <oc r="L31">
      <v>6246935.2599999998</v>
    </oc>
    <nc r="L31">
      <v>5519203.8499999978</v>
    </nc>
  </rcc>
  <rcc rId="1044" sId="4" numFmtId="4">
    <oc r="L33">
      <v>9727660.0199999996</v>
    </oc>
    <nc r="L33">
      <v>9384773.3399999999</v>
    </nc>
  </rcc>
  <rcc rId="1045" sId="4" numFmtId="4">
    <oc r="L34">
      <v>1590196.5</v>
    </oc>
    <nc r="L34">
      <v>1247309.8200000003</v>
    </nc>
  </rcc>
  <rcc rId="1046" sId="4" numFmtId="4">
    <oc r="L36">
      <v>15042546.49</v>
    </oc>
    <nc r="L36">
      <v>14699659.810000001</v>
    </nc>
  </rcc>
  <rcc rId="1047" sId="4" numFmtId="4">
    <oc r="L37">
      <v>2459029.69</v>
    </oc>
    <nc r="L37">
      <v>2116143.0099999998</v>
    </nc>
  </rcc>
  <rcc rId="1048" sId="4" numFmtId="4">
    <oc r="L39">
      <v>9853000.7200000007</v>
    </oc>
    <nc r="L39">
      <v>9510114.0299999993</v>
    </nc>
  </rcc>
  <rcc rId="1049" sId="4" numFmtId="4">
    <oc r="L40">
      <v>1610686.15</v>
    </oc>
    <nc r="L40">
      <v>1267799.459999999</v>
    </nc>
  </rcc>
  <rcc rId="1050" sId="4" numFmtId="4">
    <oc r="L42">
      <v>7333248.1200000001</v>
    </oc>
    <nc r="L42">
      <v>8976289.8800000008</v>
    </nc>
  </rcc>
  <rcc rId="1051" sId="4" numFmtId="4">
    <oc r="L43">
      <v>1198778.07</v>
    </oc>
    <nc r="L43">
      <v>2841819.830000001</v>
    </nc>
  </rcc>
  <rcc rId="1052" sId="4" numFmtId="4">
    <oc r="L45">
      <v>5599914.7800000003</v>
    </oc>
    <nc r="L45">
      <v>7242956.54</v>
    </nc>
  </rcc>
  <rcc rId="1053" sId="4" numFmtId="4">
    <oc r="L46">
      <v>915427.23</v>
    </oc>
    <nc r="L46">
      <v>2558468.9900000002</v>
    </nc>
  </rcc>
  <rcc rId="1054" sId="4" numFmtId="4">
    <oc r="L54">
      <v>800000</v>
    </oc>
    <nc r="L54">
      <v>1800000</v>
    </nc>
  </rcc>
  <rcc rId="1055" sId="4" numFmtId="4">
    <oc r="L55">
      <v>130777.31</v>
    </oc>
    <nc r="L55">
      <v>1130777.31</v>
    </nc>
  </rcc>
  <rcc rId="1056" sId="4" numFmtId="4">
    <oc r="L57">
      <v>11183958.390000001</v>
    </oc>
    <nc r="L57">
      <v>11183960.23</v>
    </nc>
  </rcc>
  <rcc rId="1057" sId="4" numFmtId="4">
    <oc r="L58">
      <v>1828259.98</v>
    </oc>
    <nc r="L58">
      <v>1828261.8200000003</v>
    </nc>
  </rcc>
  <rcc rId="1058" sId="4" numFmtId="4">
    <oc r="L60">
      <v>9948076.8499999996</v>
    </oc>
    <nc r="L60">
      <v>9948076.8900000006</v>
    </nc>
  </rcc>
  <rcc rId="1059" sId="4" numFmtId="4">
    <oc r="L61">
      <v>1626228.41</v>
    </oc>
    <nc r="L61">
      <v>1626228.4500000002</v>
    </nc>
  </rcc>
  <rcc rId="1060" sId="4" numFmtId="4">
    <oc r="L63">
      <v>9948076.8499999996</v>
    </oc>
    <nc r="L63">
      <v>9948076.8900000006</v>
    </nc>
  </rcc>
  <rcc rId="1061" sId="4" numFmtId="4">
    <oc r="L64">
      <v>1626228.41</v>
    </oc>
    <nc r="L64">
      <v>1626228.4500000002</v>
    </nc>
  </rcc>
  <rcc rId="1062" sId="4" numFmtId="4">
    <oc r="L66">
      <v>9948078.8100000005</v>
    </oc>
    <nc r="L66">
      <v>9948076.8900000006</v>
    </nc>
  </rcc>
  <rcc rId="1063" sId="4" numFmtId="4">
    <oc r="L67">
      <v>1626228.73</v>
    </oc>
    <nc r="L67">
      <v>1626226.8100000005</v>
    </nc>
  </rcc>
  <rdn rId="0" localSheetId="1" customView="1" name="Z_6B77031E_918C_40F9_A42D_E4EA46622624_.wvu.PrintArea" hidden="1" oldHidden="1">
    <formula>'Финансови бюджетни '!$A$4:$L$16</formula>
  </rdn>
  <rdn rId="0" localSheetId="2" customView="1" name="Z_6B77031E_918C_40F9_A42D_E4EA46622624_.wvu.PrintArea" hidden="1" oldHidden="1">
    <formula>'Финансов план на ПТП'!$A$2:$M$18</formula>
  </rdn>
  <rdn rId="0" localSheetId="3" customView="1" name="Z_6B77031E_918C_40F9_A42D_E4EA46622624_.wvu.PrintArea" hidden="1" oldHidden="1">
    <formula>'ОПНО_визия евро'!$A$1:$O$30</formula>
  </rdn>
  <rdn rId="0" localSheetId="4" customView="1" name="Z_6B77031E_918C_40F9_A42D_E4EA46622624_.wvu.PrintArea" hidden="1" oldHidden="1">
    <formula>'ПОКАЗАТЕЛИ ПТП '!$A$1:$F$68</formula>
  </rdn>
  <rdn rId="0" localSheetId="4" customView="1" name="Z_6B77031E_918C_40F9_A42D_E4EA46622624_.wvu.FilterData" hidden="1" oldHidden="1">
    <formula>'ПОКАЗАТЕЛИ ПТП '!$A$1:$M$70</formula>
  </rdn>
  <rdn rId="0" localSheetId="7" customView="1" name="Z_6B77031E_918C_40F9_A42D_E4EA46622624_.wvu.PrintArea" hidden="1" oldHidden="1">
    <formula>П3_Наука_Инфраструктура!$A$1:$L$16</formula>
  </rdn>
  <rdn rId="0" localSheetId="8" customView="1" name="Z_6B77031E_918C_40F9_A42D_E4EA46622624_.wvu.PrintArea" hidden="1" oldHidden="1">
    <formula>'П3_Наука Изследвания'!$A$1:$M$14</formula>
  </rdn>
  <rdn rId="0" localSheetId="9" customView="1" name="Z_6B77031E_918C_40F9_A42D_E4EA46622624_.wvu.PrintArea" hidden="1" oldHidden="1">
    <formula>П3_Наука_Хоризонт!$A$1:$M$18</formula>
  </rdn>
  <rdn rId="0" localSheetId="9" customView="1" name="Z_6B77031E_918C_40F9_A42D_E4EA46622624_.wvu.Cols" hidden="1" oldHidden="1">
    <formula>П3_Наука_Хоризонт!$N:$O</formula>
  </rdn>
  <rcv guid="{6B77031E-918C-40F9-A42D-E4EA46622624}"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3" sId="4" numFmtId="4">
    <oc r="K3">
      <v>3071597.71</v>
    </oc>
    <nc r="K3">
      <v>2994897.3200000003</v>
    </nc>
  </rcc>
  <rcc rId="1074" sId="4" numFmtId="4">
    <oc r="K4">
      <v>425793.09</v>
    </oc>
    <nc r="K4">
      <v>349092.7</v>
    </nc>
  </rcc>
  <rcc rId="1075" sId="4" numFmtId="4">
    <oc r="K9">
      <v>5257261.1900000004</v>
    </oc>
    <nc r="K9">
      <v>5103860.41</v>
    </nc>
  </rcc>
  <rcc rId="1076" sId="4" numFmtId="4">
    <oc r="K10">
      <v>728775.64</v>
    </oc>
    <nc r="K10">
      <v>575374.86</v>
    </nc>
  </rcc>
  <rcc rId="1077" sId="4" numFmtId="4">
    <oc r="K12">
      <v>5844325.1299999999</v>
    </oc>
    <nc r="K12">
      <v>5367044.0699999994</v>
    </nc>
  </rcc>
  <rcc rId="1078" sId="4" numFmtId="4">
    <oc r="K13">
      <v>810156.01</v>
    </oc>
    <nc r="K13">
      <v>332874.95</v>
    </nc>
  </rcc>
  <rcc rId="1079" sId="4" numFmtId="4">
    <oc r="K14">
      <v>5034169.12</v>
    </oc>
    <nc r="K14">
      <v>5034169.1199999992</v>
    </nc>
  </rcc>
  <rcc rId="1080" sId="4" numFmtId="4">
    <oc r="K15">
      <v>1672121.81</v>
    </oc>
    <nc r="K15">
      <v>1474116.33</v>
    </nc>
  </rcc>
  <rcc rId="1081" sId="4" numFmtId="4">
    <oc r="K16">
      <v>231794.01</v>
    </oc>
    <nc r="K16">
      <v>33788.53</v>
    </nc>
  </rcc>
  <rcc rId="1082" sId="4" numFmtId="4">
    <oc r="K19">
      <v>248485.96</v>
    </oc>
    <nc r="K19">
      <v>248485.96000000002</v>
    </nc>
  </rcc>
  <rcc rId="1083" sId="4" numFmtId="4">
    <oc r="K30">
      <v>16128710.800000001</v>
    </oc>
    <nc r="K30">
      <v>15868252.579999998</v>
    </nc>
  </rcc>
  <rcc rId="1084" sId="4" numFmtId="4">
    <oc r="K31">
      <v>2235805.1</v>
    </oc>
    <nc r="K31">
      <v>1975346.88</v>
    </nc>
  </rcc>
  <rcc rId="1085" sId="4" numFmtId="4">
    <oc r="K33">
      <v>4105664.39</v>
    </oc>
    <nc r="K33">
      <v>3982943.77</v>
    </nc>
  </rcc>
  <rcc rId="1086" sId="4" numFmtId="4">
    <oc r="K34">
      <v>569138.18999999994</v>
    </oc>
    <nc r="K34">
      <v>446417.57</v>
    </nc>
  </rcc>
  <rcc rId="1087" sId="4" numFmtId="4">
    <oc r="K36">
      <v>6348869.8300000001</v>
    </oc>
    <nc r="K36">
      <v>6226149.21</v>
    </nc>
  </rcc>
  <rcc rId="1088" sId="4" numFmtId="4">
    <oc r="K37">
      <v>880097.34</v>
    </oc>
    <nc r="K37">
      <v>757376.72</v>
    </nc>
  </rcc>
  <rcc rId="1089" sId="4" numFmtId="4">
    <oc r="K39">
      <v>4158565.78</v>
    </oc>
    <nc r="K39">
      <v>4035845.15</v>
    </nc>
  </rcc>
  <rcc rId="1090" sId="4" numFmtId="4">
    <oc r="K40">
      <v>576471.53</v>
    </oc>
    <nc r="K40">
      <v>453750.9</v>
    </nc>
  </rcc>
  <rcc rId="1091" sId="4" numFmtId="4">
    <oc r="K42">
      <v>3095076.87</v>
    </oc>
    <nc r="K42">
      <v>3683128.6199999996</v>
    </nc>
  </rcc>
  <rcc rId="1092" sId="4" numFmtId="4">
    <oc r="K43">
      <v>429047.84</v>
    </oc>
    <nc r="K43">
      <v>1017099.59</v>
    </nc>
  </rcc>
  <rcc rId="1093" sId="4" numFmtId="4">
    <oc r="K45">
      <v>2363504.75</v>
    </oc>
    <nc r="K45">
      <v>2951556.48</v>
    </nc>
  </rcc>
  <rcc rId="1094" sId="4" numFmtId="4">
    <oc r="K46">
      <v>327635.36</v>
    </oc>
    <nc r="K46">
      <v>915687.09</v>
    </nc>
  </rcc>
  <rcc rId="1095" sId="4" numFmtId="4">
    <oc r="K54">
      <v>337648.68</v>
    </oc>
    <nc r="K54">
      <v>695553</v>
    </nc>
  </rcc>
  <rcc rId="1096" sId="4" numFmtId="4">
    <oc r="K55">
      <v>46805.760000000002</v>
    </oc>
    <nc r="K55">
      <v>404710.08</v>
    </nc>
  </rcc>
  <rcc rId="1097" sId="4" numFmtId="4">
    <oc r="K57">
      <v>4720310.88</v>
    </oc>
    <nc r="K57">
      <v>4720311.55</v>
    </nc>
  </rcc>
  <rcc rId="1098" sId="4" numFmtId="4">
    <oc r="K58">
      <v>654342.12</v>
    </oc>
    <nc r="K58">
      <v>654342.79</v>
    </nc>
  </rcc>
  <rcc rId="1099" sId="4" numFmtId="4">
    <oc r="K60">
      <v>4198693.7</v>
    </oc>
    <nc r="K60">
      <v>4198693.71</v>
    </nc>
  </rcc>
  <rcc rId="1100" sId="4" numFmtId="4">
    <oc r="K61">
      <v>582034.16</v>
    </oc>
    <nc r="K61">
      <v>582034.17000000004</v>
    </nc>
  </rcc>
  <rcc rId="1101" sId="4" numFmtId="4">
    <oc r="K62">
      <v>3616659.54</v>
    </oc>
    <nc r="K62">
      <v>3616659.5399999996</v>
    </nc>
  </rcc>
  <rcc rId="1102" sId="4" numFmtId="4">
    <oc r="K63">
      <v>4198693.7</v>
    </oc>
    <nc r="K63">
      <v>4198693.71</v>
    </nc>
  </rcc>
  <rcc rId="1103" sId="4" numFmtId="4">
    <oc r="K64">
      <v>582034.16</v>
    </oc>
    <nc r="K64">
      <v>582034.17000000004</v>
    </nc>
  </rcc>
  <rcc rId="1104" sId="4" numFmtId="4">
    <oc r="K65">
      <v>3616659.54</v>
    </oc>
    <nc r="K65">
      <v>3616659.5399999996</v>
    </nc>
  </rcc>
  <rcc rId="1105" sId="4" numFmtId="4">
    <oc r="K67">
      <v>582034.28</v>
    </oc>
    <nc r="K67">
      <v>582033.59</v>
    </nc>
  </rcc>
  <rcc rId="1106" sId="4" numFmtId="4">
    <oc r="K66">
      <v>4198693.7</v>
    </oc>
    <nc r="K66">
      <v>4198693.01</v>
    </nc>
  </rcc>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7" sId="4">
    <nc r="C16">
      <f>ROUND(C15/6,0)</f>
    </nc>
  </rcc>
  <rcc rId="1108" sId="4">
    <nc r="D16">
      <f>ROUND(D15/6,0)</f>
    </nc>
  </rcc>
  <rcc rId="1109" sId="4">
    <nc r="C17">
      <f>C15-C16</f>
    </nc>
  </rcc>
  <rcc rId="1110" sId="4">
    <nc r="D17">
      <f>D15-D16</f>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L1:L1048576">
    <dxf>
      <fill>
        <patternFill>
          <bgColor theme="0" tint="-0.14999847407452621"/>
        </patternFill>
      </fill>
    </dxf>
  </rfmt>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0" sId="4" numFmtId="4">
    <oc r="C16">
      <f>ROUND(C15/6,0)</f>
    </oc>
    <nc r="C16">
      <v>92</v>
    </nc>
  </rcc>
  <rcc rId="1121" sId="4" numFmtId="4">
    <oc r="D16">
      <f>ROUND(D15/6,0)</f>
    </oc>
    <nc r="D16">
      <v>94</v>
    </nc>
  </rcc>
  <rcc rId="1122" sId="4" numFmtId="4">
    <oc r="C17">
      <f>C15-C16</f>
    </oc>
    <nc r="C17">
      <v>92</v>
    </nc>
  </rcc>
  <rcc rId="1123" sId="4" numFmtId="4">
    <oc r="D17">
      <f>D15-D16</f>
    </oc>
    <nc r="D17">
      <v>94</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4" sId="4" numFmtId="4">
    <oc r="K3">
      <v>2994897.3200000003</v>
    </oc>
    <nc r="K3">
      <v>2981148.31</v>
    </nc>
  </rcc>
  <rcc rId="1125" sId="4" numFmtId="4">
    <oc r="K4">
      <v>349092.7</v>
    </oc>
    <nc r="K4">
      <v>413254.76</v>
    </nc>
  </rcc>
  <rcc rId="1126" sId="4" numFmtId="4">
    <oc r="L4">
      <v>975379.99000000022</v>
    </oc>
    <nc r="L4">
      <v>1154651.5200000005</v>
    </nc>
  </rcc>
  <rcc rId="1127" sId="4" numFmtId="4">
    <oc r="K5">
      <v>2645804.62</v>
    </oc>
    <nc r="K5">
      <v>2567893.5499999998</v>
    </nc>
  </rcc>
  <rcc rId="1128" sId="4" numFmtId="4">
    <oc r="L5">
      <v>6087934.1200000001</v>
    </oc>
    <nc r="L5">
      <v>5908662.5899999999</v>
    </nc>
  </rcc>
  <rcc rId="1129" sId="4" numFmtId="4">
    <oc r="K6">
      <v>2330854.4700000002</v>
    </oc>
    <nc r="K6">
      <v>2330854.4699999997</v>
    </nc>
  </rcc>
  <rcc rId="1130" sId="4" numFmtId="4">
    <oc r="K9">
      <v>5103860.41</v>
    </oc>
    <nc r="K9">
      <v>5076362.38</v>
    </nc>
  </rcc>
  <rcc rId="1131" sId="4" numFmtId="4">
    <oc r="K10">
      <v>575374.86</v>
    </oc>
    <nc r="K10">
      <v>703698.95</v>
    </nc>
  </rcc>
  <rcc rId="1132" sId="4" numFmtId="4">
    <oc r="L10">
      <v>1607621.9800000004</v>
    </oc>
    <nc r="L10">
      <v>1966165.0200000014</v>
    </nc>
  </rcc>
  <rcc rId="1133" sId="4" numFmtId="4">
    <oc r="K11">
      <v>4528485.55</v>
    </oc>
    <nc r="K11">
      <v>4372663.43</v>
    </nc>
  </rcc>
  <rcc rId="1134" sId="4" numFmtId="4">
    <oc r="L11">
      <v>10419938.66</v>
    </oc>
    <nc r="L11">
      <v>10061395.619999999</v>
    </nc>
  </rcc>
  <rcc rId="1135" sId="4" numFmtId="4">
    <oc r="K12">
      <v>5367044.0699999994</v>
    </oc>
    <nc r="K12">
      <v>5281488.55</v>
    </nc>
  </rcc>
  <rcc rId="1136" sId="4" numFmtId="4">
    <oc r="K13">
      <v>332874.95</v>
    </oc>
    <nc r="K13">
      <v>732134.11</v>
    </nc>
  </rcc>
  <rcc rId="1137" sId="4" numFmtId="4">
    <oc r="L13">
      <v>930066.84999999963</v>
    </oc>
    <nc r="L13">
      <v>2045614.0099999998</v>
    </nc>
  </rcc>
  <rcc rId="1138" sId="4" numFmtId="4">
    <oc r="K14">
      <v>5034169.1199999992</v>
    </oc>
    <nc r="K14">
      <v>4549354.4399999995</v>
    </nc>
  </rcc>
  <rcc rId="1139" sId="4" numFmtId="4">
    <oc r="L14">
      <v>11583504.65</v>
    </oc>
    <nc r="L14">
      <v>10467957.49</v>
    </nc>
  </rcc>
  <rcc rId="1140" sId="4" numFmtId="4">
    <oc r="K15">
      <v>1474116.33</v>
    </oc>
    <nc r="K15">
      <v>1438622.64</v>
    </nc>
  </rcc>
  <rcc rId="1141" sId="4" numFmtId="4">
    <oc r="K16">
      <v>33788.53</v>
    </oc>
    <nc r="K16">
      <v>199425.73</v>
    </nc>
  </rcc>
  <rcc rId="1142" sId="4" numFmtId="4">
    <oc r="L16">
      <v>94406.580000000075</v>
    </oc>
    <nc r="L16">
      <v>557204.01000000024</v>
    </nc>
  </rcc>
  <rcc rId="1143" sId="4" numFmtId="4">
    <oc r="K17">
      <v>1440327.8</v>
    </oc>
    <nc r="K17">
      <v>1239196.9099999999</v>
    </nc>
  </rcc>
  <rcc rId="1144" sId="4" numFmtId="4">
    <oc r="L17">
      <v>3314160.35</v>
    </oc>
    <nc r="L17">
      <v>2851362.92</v>
    </nc>
  </rcc>
  <rcc rId="1145" sId="4" numFmtId="4">
    <oc r="K21">
      <v>5622120.3799999999</v>
    </oc>
    <nc r="K21">
      <v>5622120.3699999992</v>
    </nc>
  </rcc>
  <rcc rId="1146" sId="4" numFmtId="4">
    <oc r="K22">
      <v>779353.4</v>
    </oc>
    <nc r="K22">
      <v>779353.39</v>
    </nc>
  </rcc>
  <rcc rId="1147" sId="4" numFmtId="4">
    <oc r="K23">
      <v>4842766.9800000004</v>
    </oc>
    <nc r="K23">
      <v>4842766.9799999995</v>
    </nc>
  </rcc>
  <rcc rId="1148" sId="4" numFmtId="4">
    <oc r="L28">
      <v>2329211.0499999998</v>
    </oc>
    <nc r="L28">
      <v>2329211.0500000007</v>
    </nc>
  </rcc>
  <rcc rId="1149" sId="4" numFmtId="4">
    <oc r="K30">
      <v>15868252.579999998</v>
    </oc>
    <nc r="K30">
      <v>15821563.869999999</v>
    </nc>
  </rcc>
  <rcc rId="1150" sId="4" numFmtId="4">
    <oc r="K31">
      <v>1975346.88</v>
    </oc>
    <nc r="K31">
      <v>2193227.56</v>
    </nc>
  </rcc>
  <rcc rId="1151" sId="4" numFmtId="4">
    <oc r="L31">
      <v>5519203.8499999978</v>
    </oc>
    <nc r="L31">
      <v>6127971.8099999987</v>
    </nc>
  </rcc>
  <rcc rId="1152" sId="4" numFmtId="4">
    <oc r="K32">
      <v>13892905.699999999</v>
    </oc>
    <nc r="K32">
      <v>13628336.309999999</v>
    </nc>
  </rcc>
  <rcc rId="1153" sId="4" numFmtId="4">
    <oc r="L32">
      <v>31967249.09</v>
    </oc>
    <nc r="L32">
      <v>31358481.129999999</v>
    </nc>
  </rcc>
  <rcc rId="1154" sId="4" numFmtId="4">
    <oc r="K33">
      <v>3982943.77</v>
    </oc>
    <nc r="K33">
      <v>3960945.3400000003</v>
    </nc>
  </rcc>
  <rcc rId="1155" sId="4" numFmtId="4">
    <oc r="K34">
      <v>446417.57</v>
    </oc>
    <nc r="K34">
      <v>549076.85</v>
    </nc>
  </rcc>
  <rcc rId="1156" sId="4" numFmtId="4">
    <oc r="L34">
      <v>1247309.8200000003</v>
    </oc>
    <nc r="L34">
      <v>1534144.2599999998</v>
    </nc>
  </rcc>
  <rcc rId="1157" sId="4" numFmtId="4">
    <oc r="K35">
      <v>3536526.2</v>
    </oc>
    <nc r="K35">
      <v>3411868.49</v>
    </nc>
  </rcc>
  <rcc rId="1158" sId="4" numFmtId="4">
    <oc r="L35">
      <v>8137463.5199999996</v>
    </oc>
    <nc r="L35">
      <v>7850629.0800000001</v>
    </nc>
  </rcc>
  <rcc rId="1159" sId="4" numFmtId="4">
    <oc r="K36">
      <v>6226149.21</v>
    </oc>
    <nc r="K36">
      <v>6204150.79</v>
    </nc>
  </rcc>
  <rcc rId="1160" sId="4" numFmtId="4">
    <oc r="K37">
      <v>757376.72</v>
    </oc>
    <nc r="K37">
      <v>860036</v>
    </nc>
  </rcc>
  <rcc rId="1161" sId="4" numFmtId="4">
    <oc r="L37">
      <v>2116143.0099999998</v>
    </oc>
    <nc r="L37">
      <v>2402977.4500000011</v>
    </nc>
  </rcc>
  <rcc rId="1162" sId="4" numFmtId="4">
    <oc r="K38">
      <v>5468772.4900000002</v>
    </oc>
    <nc r="K38">
      <v>5344114.79</v>
    </nc>
  </rcc>
  <rcc rId="1163" sId="4" numFmtId="4">
    <oc r="L38">
      <v>12583516.800000001</v>
    </oc>
    <nc r="L38">
      <v>12296682.359999999</v>
    </nc>
  </rcc>
  <rcc rId="1164" sId="4" numFmtId="4">
    <oc r="K39">
      <v>4035845.15</v>
    </oc>
    <nc r="K39">
      <v>4013846.7399999998</v>
    </nc>
  </rcc>
  <rcc rId="1165" sId="4" numFmtId="4">
    <oc r="K40">
      <v>453750.9</v>
    </oc>
    <nc r="K40">
      <v>556410.18999999994</v>
    </nc>
  </rcc>
  <rcc rId="1166" sId="4" numFmtId="4">
    <oc r="L40">
      <v>1267799.459999999</v>
    </oc>
    <nc r="L40">
      <v>1554633.9099999992</v>
    </nc>
  </rcc>
  <rcc rId="1167" sId="4" numFmtId="4">
    <oc r="K41">
      <v>3582094.25</v>
    </oc>
    <nc r="K41">
      <v>3457436.55</v>
    </nc>
  </rcc>
  <rcc rId="1168" sId="4" numFmtId="4">
    <oc r="L41">
      <v>8242314.5700000003</v>
    </oc>
    <nc r="L41">
      <v>7955480.1200000001</v>
    </nc>
  </rcc>
  <rcc rId="1169" sId="4" numFmtId="4">
    <oc r="K42">
      <v>3683128.6199999996</v>
    </oc>
    <nc r="K42">
      <v>3788540.4599999995</v>
    </nc>
  </rcc>
  <rcc rId="1170" sId="4" numFmtId="4">
    <oc r="K43">
      <v>1017099.59</v>
    </oc>
    <nc r="K43">
      <v>525177.63</v>
    </nc>
  </rcc>
  <rcc rId="1171" sId="4" numFmtId="4">
    <oc r="L43">
      <v>2841819.830000001</v>
    </oc>
    <nc r="L43">
      <v>1467368.8000000007</v>
    </nc>
  </rcc>
  <rcc rId="1172" sId="4" numFmtId="4">
    <oc r="K44">
      <v>2666029.0299999998</v>
    </oc>
    <nc r="K44">
      <v>3263362.8299999996</v>
    </nc>
  </rcc>
  <rcc rId="1173" sId="4" numFmtId="4">
    <oc r="L44">
      <v>6134470.0499999998</v>
    </oc>
    <nc r="L44">
      <v>7508921.0800000001</v>
    </nc>
  </rcc>
  <rcc rId="1174" sId="4" numFmtId="4">
    <oc r="K45">
      <v>2951556.48</v>
    </oc>
    <nc r="K45">
      <v>3056968.34</v>
    </nc>
  </rcc>
  <rcc rId="1175" sId="4" numFmtId="4">
    <oc r="K46">
      <v>915687.09</v>
    </oc>
    <nc r="K46">
      <v>423765.14</v>
    </nc>
  </rcc>
  <rcc rId="1176" sId="4" numFmtId="4">
    <oc r="L46">
      <v>2558468.9900000002</v>
    </oc>
    <nc r="L46">
      <v>1184017.96</v>
    </nc>
  </rcc>
  <rcc rId="1177" sId="4" numFmtId="4">
    <oc r="K47">
      <v>2035869.39</v>
    </oc>
    <nc r="K47">
      <v>2633203.1999999997</v>
    </nc>
  </rcc>
  <rcc rId="1178" sId="4" numFmtId="4">
    <oc r="L47">
      <v>4684487.55</v>
    </oc>
    <nc r="L47">
      <v>6058938.5800000001</v>
    </nc>
  </rcc>
  <rcc rId="1179" sId="4" numFmtId="4">
    <oc r="L49">
      <v>2114205.31</v>
    </oc>
    <nc r="L49">
      <v>2114205.3100000005</v>
    </nc>
  </rcc>
  <rcc rId="1180" sId="4" numFmtId="4">
    <oc r="K54">
      <v>695553</v>
    </oc>
    <nc r="K54">
      <v>759709.52</v>
    </nc>
  </rcc>
  <rcc rId="1181" sId="4" numFmtId="4">
    <oc r="K55">
      <v>404710.08</v>
    </oc>
    <nc r="K55">
      <v>105312.96000000001</v>
    </nc>
  </rcc>
  <rcc rId="1182" sId="4" numFmtId="4">
    <oc r="L55">
      <v>1130777.31</v>
    </oc>
    <nc r="L55">
      <v>294248.94999999995</v>
    </nc>
  </rcc>
  <rcc rId="1183" sId="4" numFmtId="4">
    <oc r="K56">
      <v>290842.92</v>
    </oc>
    <nc r="K56">
      <v>654396.56000000006</v>
    </nc>
  </rcc>
  <rcc rId="1184" sId="4" numFmtId="4">
    <oc r="L56">
      <v>669222.68999999994</v>
    </oc>
    <nc r="L56">
      <v>1505751.05</v>
    </nc>
  </rcc>
  <rcc rId="1185" sId="4" numFmtId="4">
    <oc r="K57">
      <v>4720311.55</v>
    </oc>
    <nc r="K57">
      <v>4720311.67</v>
    </nc>
  </rcc>
  <rcc rId="1186" sId="4" numFmtId="4">
    <oc r="K58">
      <v>654342.79</v>
    </oc>
    <nc r="K58">
      <v>654342.24</v>
    </nc>
  </rcc>
  <rcc rId="1187" sId="4" numFmtId="4">
    <oc r="L58">
      <v>1828261.8200000003</v>
    </oc>
    <nc r="L58">
      <v>1828260.2800000012</v>
    </nc>
  </rcc>
  <rcc rId="1188" sId="4" numFmtId="4">
    <oc r="K59">
      <v>4065968.76</v>
    </oc>
    <nc r="K59">
      <v>4065969.4299999997</v>
    </nc>
  </rcc>
  <rcc rId="1189" sId="4" numFmtId="4">
    <oc r="L59">
      <v>9355698.4100000001</v>
    </oc>
    <nc r="L59">
      <v>9355699.9499999993</v>
    </nc>
  </rcc>
  <rcc rId="1190" sId="4" numFmtId="4">
    <oc r="K60">
      <v>4198693.71</v>
    </oc>
    <nc r="K60">
      <v>4198693.72</v>
    </nc>
  </rcc>
  <rcc rId="1191" sId="4" numFmtId="4">
    <oc r="K61">
      <v>582034.17000000004</v>
    </oc>
    <nc r="K61">
      <v>582034.16</v>
    </nc>
  </rcc>
  <rcc rId="1192" sId="4" numFmtId="4">
    <oc r="L61">
      <v>1626228.4500000002</v>
    </oc>
    <nc r="L61">
      <v>1626228.4100000001</v>
    </nc>
  </rcc>
  <rcc rId="1193" sId="4" numFmtId="4">
    <oc r="K62">
      <v>3616659.5399999996</v>
    </oc>
    <nc r="K62">
      <v>3616659.5599999996</v>
    </nc>
  </rcc>
  <rcc rId="1194" sId="4" numFmtId="4">
    <oc r="L62">
      <v>8321848.4400000004</v>
    </oc>
    <nc r="L62">
      <v>8321848.4800000004</v>
    </nc>
  </rcc>
  <rcc rId="1195" sId="4" numFmtId="4">
    <oc r="K63">
      <v>4198693.71</v>
    </oc>
    <nc r="K63">
      <v>4198693.72</v>
    </nc>
  </rcc>
  <rcc rId="1196" sId="4" numFmtId="4">
    <oc r="K64">
      <v>582034.17000000004</v>
    </oc>
    <nc r="K64">
      <v>582034.16</v>
    </nc>
  </rcc>
  <rcc rId="1197" sId="4" numFmtId="4">
    <oc r="L64">
      <v>1626228.4500000002</v>
    </oc>
    <nc r="L64">
      <v>1626228.4100000001</v>
    </nc>
  </rcc>
  <rcc rId="1198" sId="4" numFmtId="4">
    <oc r="K65">
      <v>3616659.5399999996</v>
    </oc>
    <nc r="K65">
      <v>3616659.5599999996</v>
    </nc>
  </rcc>
  <rcc rId="1199" sId="4" numFmtId="4">
    <oc r="L65">
      <v>8321848.4400000004</v>
    </oc>
    <nc r="L65">
      <v>8321848.4800000004</v>
    </nc>
  </rcc>
  <rcc rId="1200" sId="4" numFmtId="4">
    <oc r="K66">
      <v>4198693.01</v>
    </oc>
    <nc r="K66">
      <v>4198692.88</v>
    </nc>
  </rcc>
  <rcc rId="1201" sId="4" numFmtId="4">
    <oc r="K67">
      <v>582033.59</v>
    </oc>
    <nc r="K67">
      <v>582034.16</v>
    </nc>
  </rcc>
  <rcc rId="1202" sId="4" numFmtId="4">
    <oc r="L67">
      <v>1626226.8100000005</v>
    </oc>
    <nc r="L67">
      <v>1626228.4100000001</v>
    </nc>
  </rcc>
  <rcc rId="1203" sId="4" numFmtId="4">
    <oc r="K68">
      <v>3616659.42</v>
    </oc>
    <nc r="K68">
      <v>3616658.72</v>
    </nc>
  </rcc>
  <rcc rId="1204" sId="4" numFmtId="4">
    <oc r="L68">
      <v>8321850.0800000001</v>
    </oc>
    <nc r="L68">
      <v>8321848.4800000004</v>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K75:K78">
    <dxf>
      <numFmt numFmtId="169" formatCode="#,##0.0"/>
    </dxf>
  </rfmt>
  <rfmt sheetId="4" sqref="K75:K78">
    <dxf>
      <numFmt numFmtId="4" formatCode="#,##0.00"/>
    </dxf>
  </rfmt>
  <rcv guid="{AD504361-49F3-4986-BDBF-FB73E2299976}" action="delete"/>
  <rdn rId="0" localSheetId="1" customView="1" name="Z_AD504361_49F3_4986_BDBF_FB73E2299976_.wvu.PrintArea" hidden="1" oldHidden="1">
    <formula>'Финансови бюджетни '!$A$4:$L$16</formula>
    <oldFormula>'Финансови бюджетни '!$A$4:$L$16</oldFormula>
  </rdn>
  <rdn rId="0" localSheetId="2" customView="1" name="Z_AD504361_49F3_4986_BDBF_FB73E2299976_.wvu.PrintArea" hidden="1" oldHidden="1">
    <formula>'Финансов план на ПТП'!$A$2:$M$18</formula>
    <oldFormula>'Финансов план на ПТП'!$A$2:$M$18</oldFormula>
  </rdn>
  <rdn rId="0" localSheetId="3" customView="1" name="Z_AD504361_49F3_4986_BDBF_FB73E2299976_.wvu.PrintArea" hidden="1" oldHidden="1">
    <formula>'ОПНО_визия евро'!$A$1:$O$30</formula>
    <oldFormula>'ОПНО_визия евро'!$A$1:$O$30</oldFormula>
  </rdn>
  <rdn rId="0" localSheetId="4" customView="1" name="Z_AD504361_49F3_4986_BDBF_FB73E2299976_.wvu.PrintArea" hidden="1" oldHidden="1">
    <formula>'ПОКАЗАТЕЛИ ПТП '!$A$1:$F$68</formula>
    <oldFormula>'ПОКАЗАТЕЛИ ПТП '!$A$1:$F$68</oldFormula>
  </rdn>
  <rdn rId="0" localSheetId="4" customView="1" name="Z_AD504361_49F3_4986_BDBF_FB73E2299976_.wvu.FilterData" hidden="1" oldHidden="1">
    <formula>'ПОКАЗАТЕЛИ ПТП '!$A$1:$M$70</formula>
    <oldFormula>'ПОКАЗАТЕЛИ ПТП '!$A$1:$M$68</oldFormula>
  </rdn>
  <rdn rId="0" localSheetId="7" customView="1" name="Z_AD504361_49F3_4986_BDBF_FB73E2299976_.wvu.PrintArea" hidden="1" oldHidden="1">
    <formula>П3_Наука_Инфраструктура!$A$1:$L$16</formula>
    <oldFormula>П3_Наука_Инфраструктура!$A$1:$L$16</oldFormula>
  </rdn>
  <rdn rId="0" localSheetId="8" customView="1" name="Z_AD504361_49F3_4986_BDBF_FB73E2299976_.wvu.PrintArea" hidden="1" oldHidden="1">
    <formula>'П3_Наука Изследвания'!$A$1:$M$14</formula>
    <oldFormula>'П3_Наука Изследвания'!$A$1:$M$14</oldFormula>
  </rdn>
  <rdn rId="0" localSheetId="9" customView="1" name="Z_AD504361_49F3_4986_BDBF_FB73E2299976_.wvu.PrintArea" hidden="1" oldHidden="1">
    <formula>П3_Наука_Хоризонт!$A$1:$M$18</formula>
    <oldFormula>П3_Наука_Хоризонт!$A$1:$M$18</oldFormula>
  </rdn>
  <rdn rId="0" localSheetId="9" customView="1" name="Z_AD504361_49F3_4986_BDBF_FB73E2299976_.wvu.Cols" hidden="1" oldHidden="1">
    <formula>П3_Наука_Хоризонт!$N:$O</formula>
    <oldFormula>П3_Наука_Хоризонт!$N:$O</oldFormula>
  </rdn>
  <rcv guid="{AD504361-49F3-4986-BDBF-FB73E2299976}" action="add"/>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14" sId="4">
    <nc r="M83">
      <f>ROUND(K83,0)</f>
    </nc>
  </rcc>
  <rcc rId="1215" sId="4">
    <nc r="M85">
      <f>ROUND(K85,0)</f>
    </nc>
  </rcc>
  <rcc rId="1216" sId="4">
    <nc r="M86">
      <f>ROUND(K86,0)</f>
    </nc>
  </rcc>
  <rcc rId="1217" sId="4">
    <nc r="M87">
      <f>ROUND(K87,0)</f>
    </nc>
  </rcc>
  <rcc rId="1218" sId="4">
    <nc r="M88">
      <f>ROUND(K88,0)</f>
    </nc>
  </rcc>
  <rcc rId="1219" sId="4">
    <nc r="M89">
      <f>ROUND(K89,0)</f>
    </nc>
  </rcc>
  <rcc rId="1220" sId="4">
    <nc r="M90">
      <f>ROUND(K90,0)</f>
    </nc>
  </rcc>
  <rcc rId="1221" sId="4">
    <nc r="N83">
      <f>+ROUND(L83,0)</f>
    </nc>
  </rcc>
  <rcc rId="1222" sId="4" odxf="1" s="1" dxf="1">
    <nc r="N84">
      <f>+ROUND(L84,0)</f>
    </nc>
    <o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odxf>
    <ndxf>
      <font>
        <b val="0"/>
        <sz val="9"/>
        <color auto="1"/>
        <name val="Times New Roman"/>
        <scheme val="none"/>
      </font>
      <numFmt numFmtId="3" formatCode="#,##0"/>
      <alignment vertical="bottom" readingOrder="0"/>
    </ndxf>
  </rcc>
  <rcc rId="1223" sId="4">
    <nc r="N85">
      <f>+ROUND(L85,0)</f>
    </nc>
  </rcc>
  <rcc rId="1224" sId="4" odxf="1" s="1" dxf="1">
    <nc r="N86">
      <f>+ROUND(L86,0)</f>
    </nc>
    <o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odxf>
    <ndxf>
      <font>
        <b val="0"/>
        <sz val="9"/>
        <color auto="1"/>
        <name val="Times New Roman"/>
        <scheme val="none"/>
      </font>
      <numFmt numFmtId="3" formatCode="#,##0"/>
      <alignment vertical="bottom" readingOrder="0"/>
    </ndxf>
  </rcc>
  <rcc rId="1225" sId="4">
    <nc r="N87">
      <f>+ROUND(L87,0)</f>
    </nc>
  </rcc>
  <rcc rId="1226" sId="4" odxf="1" s="1" dxf="1">
    <nc r="N88">
      <f>+ROUND(L88,0)</f>
    </nc>
    <o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odxf>
    <ndxf>
      <font>
        <b val="0"/>
        <sz val="9"/>
        <color auto="1"/>
        <name val="Times New Roman"/>
        <scheme val="none"/>
      </font>
      <numFmt numFmtId="3" formatCode="#,##0"/>
      <alignment vertical="bottom" readingOrder="0"/>
    </ndxf>
  </rcc>
  <rcc rId="1227" sId="4">
    <nc r="N89">
      <f>+ROUND(L89,0)</f>
    </nc>
  </rcc>
  <rcc rId="1228" sId="4" odxf="1" s="1" dxf="1">
    <nc r="N90">
      <f>+ROUND(L90,0)</f>
    </nc>
    <o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odxf>
    <ndxf>
      <font>
        <b val="0"/>
        <sz val="9"/>
        <color auto="1"/>
        <name val="Times New Roman"/>
        <scheme val="none"/>
      </font>
      <numFmt numFmtId="3" formatCode="#,##0"/>
      <alignment vertical="bottom" readingOrder="0"/>
    </ndxf>
  </rcc>
  <rcc rId="1229" sId="4">
    <nc r="M91">
      <f>SUM(M83:M90)</f>
    </nc>
  </rcc>
  <rcc rId="1230" sId="4" odxf="1" s="1" dxf="1">
    <nc r="N91">
      <f>SUM(N83:N90)</f>
    </nc>
    <odxf>
      <font>
        <b/>
        <i val="0"/>
        <strike val="0"/>
        <condense val="0"/>
        <extend val="0"/>
        <outline val="0"/>
        <shadow val="0"/>
        <u val="none"/>
        <vertAlign val="baseline"/>
        <sz val="9"/>
        <color auto="1"/>
        <name val="Times New Roman"/>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right/>
        <top/>
        <bottom/>
      </border>
    </odxf>
    <ndxf>
      <font>
        <b val="0"/>
        <sz val="9"/>
        <color auto="1"/>
        <name val="Times New Roman"/>
        <scheme val="none"/>
      </font>
      <numFmt numFmtId="3" formatCode="#,##0"/>
      <alignment vertical="bottom" readingOrder="0"/>
    </ndxf>
  </rcc>
  <rcc rId="1231" sId="4">
    <nc r="M84">
      <f>ROUND(K84,0)-1</f>
    </nc>
  </rcc>
  <rfmt sheetId="4" sqref="M84">
    <dxf>
      <fill>
        <patternFill>
          <bgColor rgb="FFFFFF00"/>
        </patternFill>
      </fill>
    </dxf>
  </rfmt>
  <rcc rId="1232" sId="4">
    <nc r="O84">
      <f>+M84+M83</f>
    </nc>
  </rcc>
  <rcc rId="1233" sId="4">
    <nc r="P84">
      <f>+N84+N83</f>
    </nc>
  </rcc>
  <rcc rId="1234" sId="4">
    <nc r="O86">
      <f>+M86+M85</f>
    </nc>
  </rcc>
  <rcc rId="1235" sId="4">
    <nc r="P86">
      <f>+N86+N85</f>
    </nc>
  </rcc>
  <rcc rId="1236" sId="4">
    <nc r="O88">
      <f>+M88+M87</f>
    </nc>
  </rcc>
  <rcc rId="1237" sId="4">
    <nc r="P88">
      <f>+N88+N87</f>
    </nc>
  </rcc>
  <rcc rId="1238" sId="4">
    <nc r="O90">
      <f>+M90+M89</f>
    </nc>
  </rcc>
  <rcc rId="1239" sId="4">
    <nc r="P90">
      <f>+N90+N89</f>
    </nc>
  </rcc>
  <rcc rId="1240" sId="4">
    <nc r="O91">
      <f>SUM(O84:O90)</f>
    </nc>
  </rcc>
  <rcc rId="1241" sId="4">
    <nc r="O82" t="inlineStr">
      <is>
        <t>изпратено на ЦКЗ на 12.09.2022</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C45" start="0" length="2147483647">
    <dxf>
      <font>
        <color theme="4" tint="-0.499984740745262"/>
      </font>
    </dxf>
  </rfmt>
  <rcc rId="758" sId="4">
    <oc r="H45" t="inlineStr">
      <is>
        <t xml:space="preserve">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is>
    </oc>
    <nc r="H45" t="inlineStr">
      <is>
        <r>
          <rPr>
            <sz val="9"/>
            <color theme="4" tint="-0.499984740745262"/>
            <rFont val="Times New Roman"/>
            <family val="1"/>
            <charset val="204"/>
          </rPr>
          <t xml:space="preserve">Изпълнението на индикатора ще стартира с приоритетна централизирана подкрепа за общините от най-слабо развитите райони в България. </t>
        </r>
        <r>
          <rPr>
            <sz val="9"/>
            <color rgb="FFFF0000"/>
            <rFont val="Times New Roman"/>
            <family val="1"/>
            <charset val="204"/>
          </rPr>
          <t xml:space="preserve">
1. Провеждане на дискусионни форуми 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други, пряко свързани със смекчаване на последиците от изменението на климата и адаптиране към него в България, особено на регионално равнище;
2. Експертна подкрепа за общините </t>
        </r>
        <r>
          <rPr>
            <sz val="9"/>
            <color theme="4" tint="-0.499984740745262"/>
            <rFont val="Times New Roman"/>
            <family val="1"/>
            <charset val="204"/>
          </rPr>
          <t>(приоритетно за общините от най-слабо развитите райони на България)</t>
        </r>
        <r>
          <rPr>
            <sz val="9"/>
            <color rgb="FFFF0000"/>
            <rFont val="Times New Roman"/>
            <family val="1"/>
            <charset val="204"/>
          </rPr>
          <t xml:space="preserve">  – кандидати и бенефициенти по програми от СП, по хоризонтални области като държавни помощи, обществени поръчки и подготовка и изпълнение на проекти с акцент върху ИТИ и финансови инструменти.
</t>
        </r>
      </is>
    </nc>
  </rcc>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2" sId="4" numFmtId="13">
    <nc r="M55">
      <v>0.7</v>
    </nc>
  </rcc>
  <rcc rId="1243" sId="4" numFmtId="13">
    <nc r="M56">
      <v>0.85</v>
    </nc>
  </rcc>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3:XFD3" start="0" length="2147483647">
    <dxf>
      <font>
        <color theme="1"/>
      </font>
    </dxf>
  </rfmt>
  <rfmt sheetId="4" sqref="A6:XFD6" start="0" length="2147483647">
    <dxf>
      <font>
        <color theme="1"/>
      </font>
    </dxf>
  </rfmt>
  <rfmt sheetId="4" sqref="A9:XFD9" start="0" length="2147483647">
    <dxf>
      <font>
        <color theme="1"/>
      </font>
    </dxf>
  </rfmt>
  <rfmt sheetId="4" sqref="A15:XFD15" start="0" length="2147483647">
    <dxf>
      <font>
        <color theme="1"/>
      </font>
    </dxf>
  </rfmt>
  <rfmt sheetId="4" sqref="K15" start="0" length="0">
    <dxf>
      <fill>
        <patternFill patternType="solid">
          <bgColor theme="0" tint="-0.14999847407452621"/>
        </patternFill>
      </fill>
    </dxf>
  </rfmt>
  <rfmt sheetId="4" sqref="A18:XFD18" start="0" length="2147483647">
    <dxf>
      <font>
        <color theme="1"/>
      </font>
    </dxf>
  </rfmt>
  <rfmt sheetId="4" sqref="A21:XFD21" start="0" length="2147483647">
    <dxf>
      <font>
        <color theme="1"/>
      </font>
    </dxf>
  </rfmt>
  <rfmt sheetId="4" sqref="A24:XFD24" start="0" length="2147483647">
    <dxf>
      <font>
        <color theme="1"/>
      </font>
    </dxf>
  </rfmt>
  <rfmt sheetId="4" sqref="A27:XFD27" start="0" length="2147483647">
    <dxf>
      <font>
        <color theme="1"/>
      </font>
    </dxf>
  </rfmt>
  <rfmt sheetId="4" sqref="A30:XFD30" start="0" length="2147483647">
    <dxf>
      <font>
        <color theme="1"/>
      </font>
    </dxf>
  </rfmt>
  <rcc rId="1244" sId="4">
    <oc r="F30" t="inlineStr">
      <is>
        <r>
          <t xml:space="preserve">Показателят се отчита на шестмесечие, към 30 юни и 31 декември на съответната година.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Всеки бенефициент предоставя информация на УО на шестмесечна база за средния брой на </t>
        </r>
        <r>
          <rPr>
            <strike/>
            <sz val="9"/>
            <color theme="1"/>
            <rFont val="Times New Roman"/>
            <family val="1"/>
            <charset val="204"/>
          </rPr>
          <t xml:space="preserve">служителите, чиито възнаграждения се възстановяват. </t>
        </r>
        <r>
          <rPr>
            <sz val="9"/>
            <color theme="1"/>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trike/>
            <sz val="9"/>
            <color theme="1"/>
            <rFont val="Times New Roman"/>
            <family val="1"/>
            <charset val="204"/>
          </rPr>
          <t xml:space="preserve">Броят на служителите, чиито възнаграждения се възстановяват по програмата за годината, се изчислява, като сборът от броя на служителите в края на всеки месец на шестмесечието се раздели на 6.
</t>
        </r>
        <r>
          <rPr>
            <sz val="9"/>
            <color theme="1"/>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theme="1"/>
            <rFont val="Times New Roman"/>
            <family val="1"/>
            <charset val="204"/>
          </rPr>
          <t xml:space="preserve">
</t>
        </r>
        <r>
          <rPr>
            <sz val="9"/>
            <color theme="1"/>
            <rFont val="Times New Roman"/>
            <family val="1"/>
            <charset val="204"/>
          </rPr>
          <t>Междинната цел за 2024 г. и целевата стойност за 2029 г. се отнасят само до броя на служителите, чиито възнаграждения се възстановяват при еквивалент на пълна заетост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като се отчетат разликите в методологията на изчисление.</t>
        </r>
      </is>
    </oc>
    <nc r="F30" t="inlineStr">
      <is>
        <r>
          <t xml:space="preserve">Показателят се отчита на шестмесечие, към 30 юни и 31 декември на съответната година. 
Възстановяват се брутни възнаграждения, изплатени по служебни или трудови правоотношения, вкл. задължителните осигурителни вноски за сметка на работодателя.
Всеки бенефициент предоставя на УО на шестмесечна база анализ на заетостта си (разпределение на работното време между програмите от СП и други) въз основа на планиране на дейността му и при отчитане на утвърдените му функции и задължения във връзка с подготовка, управление, мониторинг, оценка, видимост и комуникация, контрол и одит на фондовете на РОР. В резултат на извършения анализ се получава среден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Всеки бенефициент предоставя информация на УО на шестмесечна база за средния брой на </t>
        </r>
        <r>
          <rPr>
            <sz val="9"/>
            <color theme="1"/>
            <rFont val="Times New Roman"/>
            <family val="1"/>
            <charset val="204"/>
          </rPr>
          <t xml:space="preserve">заетите щатни бройки в структурата/звеното бенефициент. Средният брой на заетите щатни бройки се  изчислява, като сборът от броя на назначените служители в края на всеки месец на шестмесечието се раздели на 6. 
</t>
        </r>
        <r>
          <rPr>
            <sz val="9"/>
            <color theme="1"/>
            <rFont val="Times New Roman"/>
            <family val="1"/>
            <charset val="204"/>
          </rPr>
          <t>Броят на служителите на Системата, чиито възнаграждения се възстановяват при еквивалент на пълна заетост се получава като се умножи средния брой на заетите щатни бройки през шестмесечието по средния процент на заетост на служителите на бенефициента във връзка с подготовка, управление, мониторинг, оценка, видимост и комуникация, контрол и одит на фондовете на РОР. Получената стойност се закръглява надолу до цяло число.</t>
        </r>
        <r>
          <rPr>
            <strike/>
            <sz val="9"/>
            <color theme="1"/>
            <rFont val="Times New Roman"/>
            <family val="1"/>
            <charset val="204"/>
          </rPr>
          <t xml:space="preserve">
</t>
        </r>
        <r>
          <rPr>
            <sz val="9"/>
            <color theme="1"/>
            <rFont val="Times New Roman"/>
            <family val="1"/>
            <charset val="204"/>
          </rPr>
          <t>Междинната цел за 2024 г. и целевата стойност за 2029 г. се отнасят само до броя на служителите, чиито възнаграждения се възстановяват при еквивалент на пълна заетост от техническа помощ през второто шестмесечие на съответната календарна година.
Въз основа на исторически данни от програмен период 2014-2020 г. се приема, че броят на служителите, чиито възнаграждения са съфинансирани от ПТП, няма да бъде увеличен, като се отчетат разликите в методологията на изчисление.</t>
        </r>
      </is>
    </nc>
  </rcc>
  <rfmt sheetId="4" sqref="A31:XFD32" start="0" length="2147483647">
    <dxf>
      <font>
        <color theme="1"/>
      </font>
    </dxf>
  </rfmt>
  <rfmt sheetId="4" sqref="A33:XFD33" start="0" length="2147483647">
    <dxf>
      <font>
        <color theme="1"/>
      </font>
    </dxf>
  </rfmt>
  <rfmt sheetId="4" sqref="A36:XFD36" start="0" length="2147483647">
    <dxf>
      <font>
        <color theme="1"/>
      </font>
    </dxf>
  </rfmt>
  <rfmt sheetId="4" sqref="A42:XFD45" start="0" length="2147483647">
    <dxf>
      <font>
        <color theme="1"/>
      </font>
    </dxf>
  </rfmt>
  <rfmt sheetId="4" sqref="A46:XFD48" start="0" length="2147483647">
    <dxf>
      <font>
        <color theme="1"/>
      </font>
    </dxf>
  </rfmt>
  <rcv guid="{AD504361-49F3-4986-BDBF-FB73E2299976}" action="delete"/>
  <rdn rId="0" localSheetId="1" customView="1" name="Z_AD504361_49F3_4986_BDBF_FB73E2299976_.wvu.PrintArea" hidden="1" oldHidden="1">
    <formula>'Финансови бюджетни '!$A$4:$L$16</formula>
    <oldFormula>'Финансови бюджетни '!$A$4:$L$16</oldFormula>
  </rdn>
  <rdn rId="0" localSheetId="2" customView="1" name="Z_AD504361_49F3_4986_BDBF_FB73E2299976_.wvu.PrintArea" hidden="1" oldHidden="1">
    <formula>'Финансов план на ПТП'!$A$2:$M$18</formula>
    <oldFormula>'Финансов план на ПТП'!$A$2:$M$18</oldFormula>
  </rdn>
  <rdn rId="0" localSheetId="3" customView="1" name="Z_AD504361_49F3_4986_BDBF_FB73E2299976_.wvu.PrintArea" hidden="1" oldHidden="1">
    <formula>'ОПНО_визия евро'!$A$1:$O$30</formula>
    <oldFormula>'ОПНО_визия евро'!$A$1:$O$30</oldFormula>
  </rdn>
  <rdn rId="0" localSheetId="4" customView="1" name="Z_AD504361_49F3_4986_BDBF_FB73E2299976_.wvu.PrintArea" hidden="1" oldHidden="1">
    <formula>'ПОКАЗАТЕЛИ ПТП '!$A$1:$F$68</formula>
    <oldFormula>'ПОКАЗАТЕЛИ ПТП '!$A$1:$F$68</oldFormula>
  </rdn>
  <rdn rId="0" localSheetId="4" customView="1" name="Z_AD504361_49F3_4986_BDBF_FB73E2299976_.wvu.FilterData" hidden="1" oldHidden="1">
    <formula>'ПОКАЗАТЕЛИ ПТП '!$A$1:$M$70</formula>
    <oldFormula>'ПОКАЗАТЕЛИ ПТП '!$A$1:$M$70</oldFormula>
  </rdn>
  <rdn rId="0" localSheetId="7" customView="1" name="Z_AD504361_49F3_4986_BDBF_FB73E2299976_.wvu.PrintArea" hidden="1" oldHidden="1">
    <formula>П3_Наука_Инфраструктура!$A$1:$L$16</formula>
    <oldFormula>П3_Наука_Инфраструктура!$A$1:$L$16</oldFormula>
  </rdn>
  <rdn rId="0" localSheetId="8" customView="1" name="Z_AD504361_49F3_4986_BDBF_FB73E2299976_.wvu.PrintArea" hidden="1" oldHidden="1">
    <formula>'П3_Наука Изследвания'!$A$1:$M$14</formula>
    <oldFormula>'П3_Наука Изследвания'!$A$1:$M$14</oldFormula>
  </rdn>
  <rdn rId="0" localSheetId="9" customView="1" name="Z_AD504361_49F3_4986_BDBF_FB73E2299976_.wvu.PrintArea" hidden="1" oldHidden="1">
    <formula>П3_Наука_Хоризонт!$A$1:$M$18</formula>
    <oldFormula>П3_Наука_Хоризонт!$A$1:$M$18</oldFormula>
  </rdn>
  <rdn rId="0" localSheetId="9" customView="1" name="Z_AD504361_49F3_4986_BDBF_FB73E2299976_.wvu.Cols" hidden="1" oldHidden="1">
    <formula>П3_Наука_Хоризонт!$N:$O</formula>
    <oldFormula>П3_Наука_Хоризонт!$N:$O</oldFormula>
  </rdn>
  <rcv guid="{AD504361-49F3-4986-BDBF-FB73E2299976}"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51:XFD51" start="0" length="2147483647">
    <dxf>
      <font>
        <color theme="1"/>
      </font>
    </dxf>
  </rfmt>
  <rfmt sheetId="4" sqref="A54:XFD54" start="0" length="2147483647">
    <dxf>
      <font>
        <color theme="1"/>
      </font>
    </dxf>
  </rfmt>
  <rfmt sheetId="4" sqref="A57:XFD57" start="0" length="2147483647">
    <dxf>
      <font>
        <color theme="1"/>
      </font>
    </dxf>
  </rfmt>
  <rcc rId="1254" sId="4">
    <oc r="E57" t="inlineStr">
      <is>
        <r>
          <t xml:space="preserve">Отчитат се традиционни и иновативни форми на обществени консултации, медиации и информационни събития, проведени: 
</t>
        </r>
        <r>
          <rPr>
            <b/>
            <sz val="9"/>
            <color theme="1"/>
            <rFont val="Times New Roman"/>
            <family val="1"/>
            <charset val="204"/>
          </rPr>
          <t xml:space="preserve">1. </t>
        </r>
        <r>
          <rPr>
            <sz val="9"/>
            <color theme="1"/>
            <rFont val="Times New Roman"/>
            <family val="1"/>
            <charset val="204"/>
          </rPr>
          <t xml:space="preserve"> </t>
        </r>
        <r>
          <rPr>
            <b/>
            <sz val="9"/>
            <color theme="1"/>
            <rFont val="Times New Roman"/>
            <family val="1"/>
            <charset val="204"/>
          </rPr>
          <t>от ОИЦ</t>
        </r>
        <r>
          <rPr>
            <sz val="9"/>
            <color theme="1"/>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color theme="1"/>
            <rFont val="Times New Roman"/>
            <family val="1"/>
            <charset val="204"/>
          </rPr>
          <t>2.</t>
        </r>
        <r>
          <rPr>
            <sz val="9"/>
            <color theme="1"/>
            <rFont val="Times New Roman"/>
            <family val="1"/>
            <charset val="204"/>
          </rPr>
          <t xml:space="preserve"> З</t>
        </r>
        <r>
          <rPr>
            <b/>
            <sz val="9"/>
            <color theme="1"/>
            <rFont val="Times New Roman"/>
            <family val="1"/>
            <charset val="204"/>
          </rPr>
          <t xml:space="preserve">а общини </t>
        </r>
        <r>
          <rPr>
            <sz val="9"/>
            <color theme="1"/>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color theme="1"/>
            <rFont val="Times New Roman"/>
            <family val="1"/>
            <charset val="204"/>
          </rPr>
          <t xml:space="preserve">3. </t>
        </r>
        <r>
          <rPr>
            <sz val="9"/>
            <color theme="1"/>
            <rFont val="Times New Roman"/>
            <family val="1"/>
            <charset val="204"/>
          </rPr>
          <t xml:space="preserve">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   </t>
        </r>
      </is>
    </oc>
    <nc r="E57" t="inlineStr">
      <is>
        <r>
          <t xml:space="preserve">Отчитат се традиционни и иновативни форми на обществени консултации, медиации и информационни събития, проведени: 
</t>
        </r>
        <r>
          <rPr>
            <b/>
            <sz val="9"/>
            <color theme="1"/>
            <rFont val="Times New Roman"/>
            <family val="1"/>
            <charset val="204"/>
          </rPr>
          <t xml:space="preserve">1. </t>
        </r>
        <r>
          <rPr>
            <sz val="9"/>
            <color theme="1"/>
            <rFont val="Times New Roman"/>
            <family val="1"/>
            <charset val="204"/>
          </rPr>
          <t xml:space="preserve"> </t>
        </r>
        <r>
          <rPr>
            <b/>
            <sz val="9"/>
            <color theme="1"/>
            <rFont val="Times New Roman"/>
            <family val="1"/>
            <charset val="204"/>
          </rPr>
          <t>от ОИЦ</t>
        </r>
        <r>
          <rPr>
            <sz val="9"/>
            <color theme="1"/>
            <rFont val="Times New Roman"/>
            <family val="1"/>
            <charset val="204"/>
          </rPr>
          <t xml:space="preserve"> за информиране на местните общностни за:
- координация и съдействие при сформирането на партньорство между заинтересованите страни на регионално ниво в процеса на подготовка на интегрираните проектни предложения или концепции за интегрирани проекти по интегрирания териториален подход (ИТИ);
- обща информация относно политиките на ЕС, Споразумението за партньорство, управление и изпълнение на програмите от СП; 
- Предоставяне на специфична информация за възможностите за финансиране по програмите на потенциални кандидати (сътрудничество с УО на програми от СП);
- подкрепа на потенциалните кандидати по програмите за трансгранично сътрудничество чрез разяснителни кампании и информационни дейности;
- Разпространение и популяризиране на добри практики във връзка с изпълнението на програмите от СП;
</t>
        </r>
        <r>
          <rPr>
            <b/>
            <sz val="9"/>
            <color theme="1"/>
            <rFont val="Times New Roman"/>
            <family val="1"/>
            <charset val="204"/>
          </rPr>
          <t>2.</t>
        </r>
        <r>
          <rPr>
            <sz val="9"/>
            <color theme="1"/>
            <rFont val="Times New Roman"/>
            <family val="1"/>
            <charset val="204"/>
          </rPr>
          <t xml:space="preserve"> З</t>
        </r>
        <r>
          <rPr>
            <b/>
            <sz val="9"/>
            <color theme="1"/>
            <rFont val="Times New Roman"/>
            <family val="1"/>
            <charset val="204"/>
          </rPr>
          <t xml:space="preserve">а общини </t>
        </r>
        <r>
          <rPr>
            <sz val="9"/>
            <color theme="1"/>
            <rFont val="Times New Roman"/>
            <family val="1"/>
            <charset val="204"/>
          </rPr>
          <t xml:space="preserve">за повишаване на междуобщинско сътрудничество, капацитетът за стратегическо планиране и активно участие в инициативи на ЕС като Хоризонт, Баухаус, развитие на градската среда и др.
</t>
        </r>
        <r>
          <rPr>
            <b/>
            <sz val="9"/>
            <color theme="1"/>
            <rFont val="Times New Roman"/>
            <family val="1"/>
            <charset val="204"/>
          </rPr>
          <t xml:space="preserve">3. </t>
        </r>
        <r>
          <rPr>
            <sz val="9"/>
            <color theme="1"/>
            <rFont val="Times New Roman"/>
            <family val="1"/>
            <charset val="204"/>
          </rPr>
          <t>За популяризиране на резултати и препоръки от извършени хоризонтални и междусекторни оценки сред структурите на Системата, както и сред всички заинтересовани страни.</t>
        </r>
      </is>
    </nc>
  </rcc>
  <rfmt sheetId="4" sqref="A60:XFD60" start="0" length="2147483647">
    <dxf>
      <font>
        <color theme="1"/>
      </font>
    </dxf>
  </rfmt>
  <rcc rId="1255" sId="4">
    <oc r="I66"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t>
        </r>
        <r>
          <rPr>
            <strike/>
            <sz val="9"/>
            <color rgb="FFFF0000"/>
            <rFont val="Times New Roman"/>
            <family val="1"/>
            <charset val="204"/>
          </rPr>
          <t>По-силно чувство за собственост върху резултатите от страна на гражданите;</t>
        </r>
        <r>
          <rPr>
            <sz val="9"/>
            <rFont val="Times New Roman"/>
            <family val="1"/>
            <charset val="204"/>
          </rPr>
          <t xml:space="preserve">
По-висока степен прозрачност и отчетност при изпълнението на СП.</t>
        </r>
      </is>
    </oc>
    <nc r="I66" t="inlineStr">
      <is>
        <r>
          <t xml:space="preserve">Повишена степен на познаване от гражданите на целите и резултатите на СП;
Повишено обществено доверие в Системата и към начина на изпълнение на проекти по програмите от СП;
</t>
        </r>
        <r>
          <rPr>
            <sz val="9"/>
            <rFont val="Times New Roman"/>
            <family val="1"/>
            <charset val="204"/>
          </rPr>
          <t>По-висока степен прозрачност и отчетност при изпълнението на СП.</t>
        </r>
      </is>
    </nc>
  </rcc>
  <rrc rId="1256"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dxf>
    </rfmt>
    <rfmt sheetId="4" sqref="I74" start="0" length="0">
      <dxf>
        <font>
          <sz val="9"/>
          <color auto="1"/>
          <name val="Times New Roman"/>
          <scheme val="none"/>
        </font>
      </dxf>
    </rfmt>
    <rfmt sheetId="4" s="1" sqref="J74" start="0" length="0">
      <dxf>
        <font>
          <b/>
          <sz val="9"/>
          <color theme="1"/>
          <name val="Times New Roman"/>
          <scheme val="none"/>
        </font>
        <numFmt numFmtId="3" formatCode="#,##0"/>
        <fill>
          <patternFill patternType="none">
            <bgColor indexed="65"/>
          </patternFill>
        </fill>
        <alignment horizontal="justify" vertical="center" readingOrder="0"/>
        <border outline="0">
          <left style="medium">
            <color indexed="64"/>
          </left>
          <right style="thin">
            <color indexed="64"/>
          </right>
          <top style="medium">
            <color indexed="64"/>
          </top>
          <bottom style="thin">
            <color indexed="64"/>
          </bottom>
        </border>
      </dxf>
    </rfmt>
    <rcc rId="0" sId="4" s="1" dxf="1">
      <nc r="K74" t="inlineStr">
        <is>
          <t>Стойност на кодове за интервенция (европейско финансиране) (EUR)</t>
        </is>
      </nc>
      <ndxf>
        <font>
          <b/>
          <sz val="8"/>
          <color theme="1"/>
          <name val="Times New Roman"/>
          <scheme val="none"/>
        </font>
        <numFmt numFmtId="3" formatCode="#,##0"/>
        <fill>
          <patternFill>
            <bgColor theme="9" tint="0.79998168889431442"/>
          </patternFill>
        </fill>
        <alignment horizontal="center" vertical="center" readingOrder="0"/>
        <border outline="0">
          <left style="thin">
            <color indexed="64"/>
          </left>
          <right style="thin">
            <color indexed="64"/>
          </right>
          <top style="medium">
            <color indexed="64"/>
          </top>
          <bottom style="thin">
            <color indexed="64"/>
          </bottom>
        </border>
      </ndxf>
    </rcc>
    <rcc rId="0" sId="4" s="1" dxf="1">
      <nc r="L74" t="inlineStr">
        <is>
          <t>ОБЩО (европейско + национално съфинансиране) (BGN)</t>
        </is>
      </nc>
      <ndxf>
        <font>
          <b/>
          <sz val="8"/>
          <color theme="1"/>
          <name val="Times New Roman"/>
          <scheme val="none"/>
        </font>
        <numFmt numFmtId="3" formatCode="#,##0"/>
        <fill>
          <patternFill>
            <bgColor theme="0" tint="-0.14999847407452621"/>
          </patternFill>
        </fill>
        <alignment horizontal="center" vertical="center" readingOrder="0"/>
        <border outline="0">
          <left style="thin">
            <color indexed="64"/>
          </left>
          <right style="medium">
            <color indexed="64"/>
          </right>
          <top style="medium">
            <color indexed="64"/>
          </top>
          <bottom style="thin">
            <color indexed="64"/>
          </bottom>
        </border>
      </ndxf>
    </rcc>
    <rfmt sheetId="4" sqref="M74" start="0" length="0">
      <dxf>
        <font>
          <sz val="9"/>
          <color theme="0"/>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rc>
  <rrc rId="1257" sId="4" ref="A74:XFD74" action="deleteRow">
    <undo index="1" exp="area" dr="L74:L77" r="L78" sId="4"/>
    <undo index="1" exp="area" dr="K74:K77" r="K78"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9"/>
          <color auto="1"/>
          <name val="Times New Roman"/>
          <scheme val="none"/>
        </font>
        <numFmt numFmtId="3" formatCode="#,##0"/>
      </dxf>
    </rfmt>
    <rfmt sheetId="4" sqref="H74" start="0" length="0">
      <dxf>
        <font>
          <b/>
          <sz val="9"/>
          <color auto="1"/>
          <name val="Times New Roman"/>
          <scheme val="none"/>
        </font>
        <numFmt numFmtId="3" formatCode="#,##0"/>
      </dxf>
    </rfmt>
    <rfmt sheetId="4" sqref="I74" start="0" length="0">
      <dxf>
        <font>
          <sz val="9"/>
          <color auto="1"/>
          <name val="Times New Roman"/>
          <scheme val="none"/>
        </font>
        <numFmt numFmtId="3" formatCode="#,##0"/>
      </dxf>
    </rfmt>
    <rcc rId="0" sId="4" s="1" dxf="1" numFmtId="4">
      <nc r="J74">
        <v>179</v>
      </nc>
      <ndxf>
        <font>
          <sz val="9"/>
          <color theme="1"/>
          <name val="Times New Roman"/>
          <scheme val="none"/>
        </font>
        <numFmt numFmtId="3" formatCode="#,##0"/>
        <alignment vertical="center" readingOrder="0"/>
        <border outline="0">
          <left style="medium">
            <color indexed="64"/>
          </left>
          <right style="thin">
            <color indexed="64"/>
          </right>
          <top style="thin">
            <color indexed="64"/>
          </top>
          <bottom style="thin">
            <color indexed="64"/>
          </bottom>
        </border>
      </ndxf>
    </rcc>
    <rcc rId="0" sId="4" s="1" dxf="1">
      <nc r="K74">
        <f>+K51+K57+K60+K63+K66</f>
      </nc>
      <ndxf>
        <font>
          <sz val="9"/>
          <color theme="1"/>
          <name val="Times New Roman"/>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4" s="1" dxf="1">
      <nc r="L74">
        <f>+L51+L57+L60+L63+L66</f>
      </nc>
      <ndxf>
        <font>
          <sz val="9"/>
          <color theme="1"/>
          <name val="Times New Roman"/>
          <scheme val="none"/>
        </font>
        <numFmt numFmtId="3" formatCode="#,##0"/>
        <fill>
          <patternFill>
            <bgColor theme="0" tint="-0.14999847407452621"/>
          </patternFill>
        </fill>
        <alignment vertical="center" readingOrder="0"/>
        <border outline="0">
          <left style="thin">
            <color indexed="64"/>
          </left>
          <right style="medium">
            <color indexed="64"/>
          </right>
          <top style="thin">
            <color indexed="64"/>
          </top>
          <bottom style="thin">
            <color indexed="64"/>
          </bottom>
        </border>
      </ndxf>
    </rcc>
    <rfmt sheetId="4" sqref="M74" start="0" length="0">
      <dxf>
        <font>
          <sz val="9"/>
          <color theme="0"/>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rc>
  <rrc rId="1258" sId="4" ref="A74:XFD74" action="deleteRow">
    <undo index="1" exp="area" dr="L74:L76" r="L77" sId="4"/>
    <undo index="1" exp="area" dr="K74:K76" r="K77"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10"/>
          <color auto="1"/>
          <name val="Times New Roman"/>
          <scheme val="none"/>
        </font>
        <numFmt numFmtId="3" formatCode="#,##0"/>
      </dxf>
    </rfmt>
    <rfmt sheetId="4" sqref="H74" start="0" length="0">
      <dxf>
        <font>
          <sz val="9"/>
          <color auto="1"/>
          <name val="Times New Roman"/>
          <scheme val="none"/>
        </font>
        <numFmt numFmtId="3" formatCode="#,##0"/>
        <alignment horizontal="right" readingOrder="0"/>
      </dxf>
    </rfmt>
    <rfmt sheetId="4" sqref="I74" start="0" length="0">
      <dxf>
        <font>
          <sz val="9"/>
          <color auto="1"/>
          <name val="Times New Roman"/>
          <scheme val="none"/>
        </font>
        <numFmt numFmtId="3" formatCode="#,##0"/>
      </dxf>
    </rfmt>
    <rcc rId="0" sId="4" s="1" dxf="1" numFmtId="4">
      <nc r="J74">
        <v>180</v>
      </nc>
      <ndxf>
        <font>
          <sz val="9"/>
          <color theme="1"/>
          <name val="Times New Roman"/>
          <scheme val="none"/>
        </font>
        <numFmt numFmtId="3" formatCode="#,##0"/>
        <alignment vertical="center" readingOrder="0"/>
        <border outline="0">
          <left style="medium">
            <color indexed="64"/>
          </left>
          <right style="thin">
            <color indexed="64"/>
          </right>
          <top style="thin">
            <color indexed="64"/>
          </top>
          <bottom style="thin">
            <color indexed="64"/>
          </bottom>
        </border>
      </ndxf>
    </rcc>
    <rcc rId="0" sId="4" dxf="1">
      <nc r="K74">
        <f>+K9+K18+K30+K12+K15+K21+K24+K27</f>
      </nc>
      <ndxf>
        <font>
          <sz val="9"/>
          <color auto="1"/>
          <name val="Times New Roman"/>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4" dxf="1">
      <nc r="L74">
        <f>+L9+L18+L30+L12+L15+L21+L24+L27</f>
      </nc>
      <ndxf>
        <font>
          <sz val="9"/>
          <color auto="1"/>
          <name val="Times New Roman"/>
          <scheme val="none"/>
        </font>
        <numFmt numFmtId="3" formatCode="#,##0"/>
        <fill>
          <patternFill>
            <bgColor theme="0" tint="-0.14999847407452621"/>
          </patternFill>
        </fill>
        <alignment vertical="center" readingOrder="0"/>
        <border outline="0">
          <left style="thin">
            <color indexed="64"/>
          </left>
          <right style="medium">
            <color indexed="64"/>
          </right>
          <top style="thin">
            <color indexed="64"/>
          </top>
          <bottom style="thin">
            <color indexed="64"/>
          </bottom>
        </border>
      </ndxf>
    </rcc>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59" sId="4" ref="A74:XFD74" action="deleteRow">
    <undo index="1" exp="area" dr="L74:L75" r="L76" sId="4"/>
    <undo index="1" exp="area" dr="K74:K75" r="K76"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10"/>
          <color auto="1"/>
          <name val="Times New Roman"/>
          <scheme val="none"/>
        </font>
        <numFmt numFmtId="3" formatCode="#,##0"/>
        <alignment horizontal="right" readingOrder="0"/>
      </dxf>
    </rfmt>
    <rfmt sheetId="4" sqref="H74" start="0" length="0">
      <dxf>
        <font>
          <sz val="9"/>
          <color auto="1"/>
          <name val="Times New Roman"/>
          <scheme val="none"/>
        </font>
        <numFmt numFmtId="3" formatCode="#,##0"/>
        <alignment horizontal="right" readingOrder="0"/>
      </dxf>
    </rfmt>
    <rfmt sheetId="4" sqref="I74" start="0" length="0">
      <dxf>
        <font>
          <sz val="9"/>
          <color auto="1"/>
          <name val="Times New Roman"/>
          <scheme val="none"/>
        </font>
        <numFmt numFmtId="3" formatCode="#,##0"/>
      </dxf>
    </rfmt>
    <rcc rId="0" sId="4" s="1" dxf="1" numFmtId="4">
      <nc r="J74">
        <v>181</v>
      </nc>
      <ndxf>
        <font>
          <sz val="9"/>
          <color theme="1"/>
          <name val="Times New Roman"/>
          <scheme val="none"/>
        </font>
        <numFmt numFmtId="3" formatCode="#,##0"/>
        <alignment vertical="center" readingOrder="0"/>
        <border outline="0">
          <left style="medium">
            <color indexed="64"/>
          </left>
          <right style="thin">
            <color indexed="64"/>
          </right>
          <top style="thin">
            <color indexed="64"/>
          </top>
          <bottom style="thin">
            <color indexed="64"/>
          </bottom>
        </border>
      </ndxf>
    </rcc>
    <rcc rId="0" sId="4" dxf="1">
      <nc r="K74">
        <f>+K3+K6+K48+K54</f>
      </nc>
      <ndxf>
        <font>
          <sz val="9"/>
          <color auto="1"/>
          <name val="Times New Roman"/>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4" dxf="1">
      <nc r="L74">
        <f>+L3+L6+L48+L54</f>
      </nc>
      <ndxf>
        <font>
          <sz val="9"/>
          <color auto="1"/>
          <name val="Times New Roman"/>
          <scheme val="none"/>
        </font>
        <numFmt numFmtId="3" formatCode="#,##0"/>
        <fill>
          <patternFill>
            <bgColor theme="0" tint="-0.14999847407452621"/>
          </patternFill>
        </fill>
        <alignment vertical="center" readingOrder="0"/>
        <border outline="0">
          <left style="thin">
            <color indexed="64"/>
          </left>
          <right style="medium">
            <color indexed="64"/>
          </right>
          <top style="thin">
            <color indexed="64"/>
          </top>
          <bottom style="thin">
            <color indexed="64"/>
          </bottom>
        </border>
      </ndxf>
    </rcc>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0" sId="4" ref="A74:XFD74" action="deleteRow">
    <undo index="1" exp="area" dr="L74" r="L75" sId="4"/>
    <undo index="1" exp="area" dr="K74" r="K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10"/>
          <color auto="1"/>
          <name val="Times New Roman"/>
          <scheme val="none"/>
        </font>
        <numFmt numFmtId="3" formatCode="#,##0"/>
        <alignment horizontal="right" readingOrder="0"/>
      </dxf>
    </rfmt>
    <rfmt sheetId="4" sqref="H74" start="0" length="0">
      <dxf>
        <font>
          <sz val="9"/>
          <color auto="1"/>
          <name val="Times New Roman"/>
          <scheme val="none"/>
        </font>
        <numFmt numFmtId="3" formatCode="#,##0"/>
        <alignment horizontal="right" readingOrder="0"/>
      </dxf>
    </rfmt>
    <rfmt sheetId="4" sqref="I74" start="0" length="0">
      <dxf>
        <font>
          <sz val="9"/>
          <color auto="1"/>
          <name val="Times New Roman"/>
          <scheme val="none"/>
        </font>
        <numFmt numFmtId="3" formatCode="#,##0"/>
      </dxf>
    </rfmt>
    <rcc rId="0" sId="4" s="1" dxf="1" numFmtId="4">
      <nc r="J74">
        <v>182</v>
      </nc>
      <ndxf>
        <font>
          <sz val="9"/>
          <color theme="1"/>
          <name val="Times New Roman"/>
          <scheme val="none"/>
        </font>
        <numFmt numFmtId="3" formatCode="#,##0"/>
        <alignment vertical="center" readingOrder="0"/>
        <border outline="0">
          <left style="medium">
            <color indexed="64"/>
          </left>
          <right style="thin">
            <color indexed="64"/>
          </right>
          <top style="thin">
            <color indexed="64"/>
          </top>
          <bottom style="thin">
            <color indexed="64"/>
          </bottom>
        </border>
      </ndxf>
    </rcc>
    <rcc rId="0" sId="4" dxf="1">
      <nc r="K74">
        <f>+K33+K36+K39+K42+K45</f>
      </nc>
      <ndxf>
        <font>
          <sz val="9"/>
          <color auto="1"/>
          <name val="Times New Roman"/>
          <scheme val="none"/>
        </font>
        <numFmt numFmtId="4" formatCode="#,##0.00"/>
        <alignment vertical="center" readingOrder="0"/>
        <border outline="0">
          <left style="thin">
            <color indexed="64"/>
          </left>
          <right style="thin">
            <color indexed="64"/>
          </right>
          <top style="thin">
            <color indexed="64"/>
          </top>
          <bottom style="thin">
            <color indexed="64"/>
          </bottom>
        </border>
      </ndxf>
    </rcc>
    <rcc rId="0" sId="4" dxf="1">
      <nc r="L74">
        <f>+L33+L36+L39+L42+L45</f>
      </nc>
      <ndxf>
        <font>
          <sz val="9"/>
          <color auto="1"/>
          <name val="Times New Roman"/>
          <scheme val="none"/>
        </font>
        <numFmt numFmtId="3" formatCode="#,##0"/>
        <fill>
          <patternFill>
            <bgColor theme="0" tint="-0.14999847407452621"/>
          </patternFill>
        </fill>
        <alignment vertical="center" readingOrder="0"/>
        <border outline="0">
          <left style="thin">
            <color indexed="64"/>
          </left>
          <right style="medium">
            <color indexed="64"/>
          </right>
          <top style="thin">
            <color indexed="64"/>
          </top>
          <bottom style="thin">
            <color indexed="64"/>
          </bottom>
        </border>
      </ndxf>
    </rcc>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1"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10"/>
          <color auto="1"/>
          <name val="Times New Roman"/>
          <scheme val="none"/>
        </font>
        <numFmt numFmtId="3" formatCode="#,##0"/>
        <alignment horizontal="right" readingOrder="0"/>
      </dxf>
    </rfmt>
    <rfmt sheetId="4" sqref="H74" start="0" length="0">
      <dxf>
        <font>
          <sz val="9"/>
          <color auto="1"/>
          <name val="Times New Roman"/>
          <scheme val="none"/>
        </font>
        <numFmt numFmtId="3" formatCode="#,##0"/>
        <alignment horizontal="right" readingOrder="0"/>
      </dxf>
    </rfmt>
    <rfmt sheetId="4" sqref="I74" start="0" length="0">
      <dxf>
        <font>
          <sz val="9"/>
          <color auto="1"/>
          <name val="Times New Roman"/>
          <scheme val="none"/>
        </font>
        <numFmt numFmtId="3" formatCode="#,##0"/>
      </dxf>
    </rfmt>
    <rcc rId="0" sId="4" s="1" dxf="1">
      <nc r="J74" t="inlineStr">
        <is>
          <r>
            <rPr>
              <b/>
              <sz val="9"/>
              <color theme="1"/>
              <rFont val="Times New Roman"/>
              <family val="1"/>
              <charset val="204"/>
            </rPr>
            <t>Общо</t>
          </r>
        </is>
      </nc>
      <ndxf>
        <font>
          <b/>
          <sz val="9"/>
          <color theme="1"/>
          <name val="Times New Roman"/>
          <scheme val="none"/>
        </font>
        <numFmt numFmtId="3" formatCode="#,##0"/>
        <alignment vertical="center" readingOrder="0"/>
        <border outline="0">
          <left style="medium">
            <color indexed="64"/>
          </left>
          <right style="thin">
            <color indexed="64"/>
          </right>
          <top style="thin">
            <color indexed="64"/>
          </top>
          <bottom style="medium">
            <color indexed="64"/>
          </bottom>
        </border>
      </ndxf>
    </rcc>
    <rcc rId="0" sId="4" s="1" dxf="1">
      <nc r="K74">
        <f>SUBTOTAL(9,#REF!)</f>
      </nc>
      <ndxf>
        <font>
          <b/>
          <sz val="9"/>
          <color theme="1"/>
          <name val="Times New Roman"/>
          <scheme val="none"/>
        </font>
        <numFmt numFmtId="3" formatCode="#,##0"/>
        <alignment vertical="center" readingOrder="0"/>
        <border outline="0">
          <left style="thin">
            <color indexed="64"/>
          </left>
          <right style="thin">
            <color indexed="64"/>
          </right>
          <top style="thin">
            <color indexed="64"/>
          </top>
          <bottom style="medium">
            <color indexed="64"/>
          </bottom>
        </border>
      </ndxf>
    </rcc>
    <rcc rId="0" sId="4" s="1" dxf="1">
      <nc r="L74">
        <f>SUBTOTAL(9,#REF!)</f>
      </nc>
      <ndxf>
        <font>
          <b/>
          <sz val="9"/>
          <color theme="1"/>
          <name val="Times New Roman"/>
          <scheme val="none"/>
        </font>
        <numFmt numFmtId="3" formatCode="#,##0"/>
        <fill>
          <patternFill>
            <bgColor theme="0" tint="-0.14999847407452621"/>
          </patternFill>
        </fill>
        <alignment vertical="center" readingOrder="0"/>
        <border outline="0">
          <left style="thin">
            <color indexed="64"/>
          </left>
          <right style="medium">
            <color indexed="64"/>
          </right>
          <top style="thin">
            <color indexed="64"/>
          </top>
          <bottom style="medium">
            <color indexed="64"/>
          </bottom>
        </border>
      </ndxf>
    </rcc>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2"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1" sqref="J74" start="0" length="0">
      <dxf>
        <font>
          <sz val="9"/>
          <color theme="1"/>
          <name val="Times New Roman"/>
          <scheme val="none"/>
        </font>
        <numFmt numFmtId="3" formatCode="#,##0"/>
        <alignment vertical="bottom" readingOrder="0"/>
      </dxf>
    </rfmt>
    <rfmt sheetId="4" sqref="K74" start="0" length="0">
      <dxf>
        <numFmt numFmtId="3" formatCode="#,##0"/>
        <fill>
          <patternFill patternType="none">
            <bgColor indexed="65"/>
          </patternFill>
        </fill>
        <alignment wrapText="0" readingOrder="0"/>
      </dxf>
    </rfmt>
    <rfmt sheetId="4" sqref="L74" start="0" length="0">
      <dxf>
        <numFmt numFmtId="3" formatCode="#,##0"/>
        <fill>
          <patternFill>
            <bgColor theme="0" tint="-0.14999847407452621"/>
          </patternFill>
        </fill>
        <alignment wrapText="0" readingOrder="0"/>
      </dxf>
    </rfmt>
    <rfmt sheetId="4" sqref="M74" start="0" length="0">
      <dxf>
        <font>
          <sz val="9"/>
          <color auto="1"/>
          <name val="Times New Roman"/>
          <scheme val="none"/>
        </font>
        <numFmt numFmtId="4" formatCode="#,##0.0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3"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1" sqref="J74" start="0" length="0">
      <dxf>
        <font>
          <sz val="9"/>
          <color auto="1"/>
          <name val="Times New Roman"/>
          <scheme val="none"/>
        </font>
        <numFmt numFmtId="3" formatCode="#,##0"/>
        <alignment vertical="bottom" readingOrder="0"/>
      </dxf>
    </rfmt>
    <rfmt sheetId="4" sqref="K74" start="0" length="0">
      <dxf>
        <font>
          <sz val="9"/>
          <color auto="1"/>
          <name val="Times New Roman"/>
          <scheme val="none"/>
        </font>
        <numFmt numFmtId="3" formatCode="#,##0"/>
      </dxf>
    </rfmt>
    <rfmt sheetId="4" sqref="L74" start="0" length="0">
      <dxf>
        <font>
          <sz val="9"/>
          <color auto="1"/>
          <name val="Times New Roman"/>
          <scheme val="none"/>
        </font>
        <numFmt numFmtId="3" formatCode="#,##0"/>
        <fill>
          <patternFill>
            <bgColor theme="0" tint="-0.14999847407452621"/>
          </patternFill>
        </fill>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4"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1" sqref="J74" start="0" length="0">
      <dxf>
        <font>
          <sz val="9"/>
          <color auto="1"/>
          <name val="Times New Roman"/>
          <scheme val="none"/>
        </font>
        <numFmt numFmtId="3" formatCode="#,##0"/>
        <alignment vertical="bottom" readingOrder="0"/>
      </dxf>
    </rfmt>
    <rcc rId="0" sId="4" dxf="1">
      <nc r="K74" t="inlineStr">
        <is>
          <t>ЕС част, евро</t>
        </is>
      </nc>
      <ndxf>
        <font>
          <b/>
          <sz val="9"/>
          <color auto="1"/>
          <name val="Times New Roman"/>
          <scheme val="none"/>
        </font>
        <numFmt numFmtId="3" formatCode="#,##0"/>
        <alignment horizontal="center" readingOrder="0"/>
      </ndxf>
    </rcc>
    <rcc rId="0" sId="4" dxf="1">
      <nc r="L74" t="inlineStr">
        <is>
          <t>ЕС+НС, всичко</t>
        </is>
      </nc>
      <ndxf>
        <font>
          <b/>
          <sz val="9"/>
          <color auto="1"/>
          <name val="Times New Roman"/>
          <scheme val="none"/>
        </font>
        <numFmt numFmtId="3" formatCode="#,##0"/>
        <fill>
          <patternFill>
            <bgColor theme="0" tint="-0.14999847407452621"/>
          </patternFill>
        </fill>
        <alignment horizontal="center" readingOrder="0"/>
      </ndxf>
    </rcc>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cc rId="0" sId="4" s="1" dxf="1">
      <nc r="O74" t="inlineStr">
        <is>
          <t>изпратено на ЦКЗ на 12.09.2022</t>
        </is>
      </nc>
      <ndxf>
        <font>
          <b/>
          <sz val="9"/>
          <color auto="1"/>
          <name val="Times New Roman"/>
          <scheme val="none"/>
        </font>
        <numFmt numFmtId="4" formatCode="#,##0.00"/>
        <alignment vertical="center" readingOrder="0"/>
      </ndxf>
    </rcc>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5" sId="4" ref="A74:XFD74" action="deleteRow">
    <undo index="0" exp="area" dr="N74:N81" r="N82" sId="4"/>
    <undo index="0" exp="area" dr="M74:M81" r="M82" sId="4"/>
    <undo index="0" exp="area" dr="L74:L81" r="L82" sId="4"/>
    <undo index="0" exp="area" dr="K74:K81" r="K82" sId="4"/>
    <undo index="2" exp="ref" v="1" dr="N74" r="P75" sId="4"/>
    <undo index="2" exp="ref" v="1" dr="M74" r="O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179 - Преход</t>
        </is>
      </nc>
      <ndxf>
        <font>
          <sz val="9"/>
          <color auto="1"/>
          <name val="Times New Roman"/>
          <scheme val="none"/>
        </font>
        <numFmt numFmtId="3" formatCode="#,##0"/>
        <alignment horizontal="right" vertical="bottom" readingOrder="0"/>
        <border outline="0">
          <left style="medium">
            <color indexed="64"/>
          </left>
          <right style="thin">
            <color indexed="64"/>
          </right>
          <top style="medium">
            <color indexed="64"/>
          </top>
          <bottom style="thin">
            <color indexed="64"/>
          </bottom>
        </border>
      </ndxf>
    </rcc>
    <rcc rId="0" sId="4" dxf="1">
      <nc r="K74">
        <f>+K52+K58+K61+K64+K67</f>
      </nc>
      <ndxf>
        <font>
          <sz val="9"/>
          <color auto="1"/>
          <name val="Times New Roman"/>
          <scheme val="none"/>
        </font>
        <numFmt numFmtId="3" formatCode="#,##0"/>
        <border outline="0">
          <left style="thin">
            <color indexed="64"/>
          </left>
          <right style="thin">
            <color indexed="64"/>
          </right>
          <top style="medium">
            <color indexed="64"/>
          </top>
          <bottom style="thin">
            <color indexed="64"/>
          </bottom>
        </border>
      </ndxf>
    </rcc>
    <rcc rId="0" sId="4" dxf="1">
      <nc r="L74">
        <f>+L52+L58+L61+L64+L67</f>
      </nc>
      <ndxf>
        <font>
          <sz val="9"/>
          <color auto="1"/>
          <name val="Times New Roman"/>
          <scheme val="none"/>
        </font>
        <numFmt numFmtId="3" formatCode="#,##0"/>
        <fill>
          <patternFill>
            <bgColor theme="0" tint="-0.14999847407452621"/>
          </patternFill>
        </fill>
        <border outline="0">
          <left style="thin">
            <color indexed="64"/>
          </left>
          <right style="medium">
            <color indexed="64"/>
          </right>
          <top style="medium">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6" sId="4" ref="A74:XFD74" action="deleteRow">
    <undo index="0" exp="area" dr="O74:O80" r="O81" sId="4"/>
    <undo index="0" exp="area" dr="N74:N80" r="N81" sId="4"/>
    <undo index="0" exp="area" dr="M74:M80" r="M81" sId="4"/>
    <undo index="0" exp="area" dr="L74:L80" r="L81" sId="4"/>
    <undo index="0" exp="area" dr="K74:K80" r="K81"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179 - По-слабо развити</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dxf="1">
      <nc r="K74">
        <f>+K53+K59+K62+K65+K68</f>
      </nc>
      <ndxf>
        <font>
          <sz val="9"/>
          <color auto="1"/>
          <name val="Times New Roman"/>
          <scheme val="none"/>
        </font>
        <numFmt numFmtId="3" formatCode="#,##0"/>
        <border outline="0">
          <left style="thin">
            <color indexed="64"/>
          </left>
          <right style="thin">
            <color indexed="64"/>
          </right>
          <top style="thin">
            <color indexed="64"/>
          </top>
          <bottom style="thin">
            <color indexed="64"/>
          </bottom>
        </border>
      </ndxf>
    </rcc>
    <rcc rId="0" sId="4" dxf="1">
      <nc r="L74">
        <f>+L53+L59+L62+L65+L68</f>
      </nc>
      <ndxf>
        <font>
          <sz val="9"/>
          <color auto="1"/>
          <name val="Times New Roman"/>
          <scheme val="none"/>
        </font>
        <numFmt numFmtId="3" formatCode="#,##0"/>
        <fill>
          <patternFill>
            <bgColor theme="0" tint="-0.14999847407452621"/>
          </patternFill>
        </fill>
        <border outline="0">
          <left style="thin">
            <color indexed="64"/>
          </left>
          <right style="medium">
            <color indexed="64"/>
          </right>
          <top style="thin">
            <color indexed="64"/>
          </top>
          <bottom style="thin">
            <color indexed="64"/>
          </bottom>
        </border>
      </ndxf>
    </rcc>
    <rcc rId="0" sId="4" dxf="1">
      <nc r="M74">
        <f>ROUND(K74,0)-1</f>
      </nc>
      <ndxf>
        <font>
          <sz val="9"/>
          <color auto="1"/>
          <name val="Times New Roman"/>
          <scheme val="none"/>
        </font>
        <numFmt numFmtId="3" formatCode="#,##0"/>
        <fill>
          <patternFill>
            <bgColor rgb="FFFFFF00"/>
          </patternFill>
        </fill>
      </ndxf>
    </rcc>
    <rcc rId="0" sId="4" dxf="1">
      <nc r="N74">
        <f>+ROUND(L74,0)</f>
      </nc>
      <ndxf>
        <font>
          <sz val="9"/>
          <color auto="1"/>
          <name val="Times New Roman"/>
          <scheme val="none"/>
        </font>
        <numFmt numFmtId="3" formatCode="#,##0"/>
      </ndxf>
    </rcc>
    <rcc rId="0" sId="4" s="1" dxf="1">
      <nc r="O74">
        <f>+M74+#REF!</f>
      </nc>
      <ndxf>
        <font>
          <b/>
          <sz val="9"/>
          <color auto="1"/>
          <name val="Times New Roman"/>
          <scheme val="none"/>
        </font>
        <numFmt numFmtId="4" formatCode="#,##0.00"/>
        <alignment vertical="center" readingOrder="0"/>
      </ndxf>
    </rcc>
    <rcc rId="0" sId="4" s="1" dxf="1">
      <nc r="P74">
        <f>+N74+#REF!</f>
      </nc>
      <ndxf>
        <font>
          <b/>
          <sz val="9"/>
          <color auto="1"/>
          <name val="Times New Roman"/>
          <scheme val="none"/>
        </font>
        <numFmt numFmtId="4" formatCode="#,##0.00"/>
        <alignment vertical="center" readingOrder="0"/>
      </ndxf>
    </rcc>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7" sId="4" ref="A74:XFD74" action="deleteRow">
    <undo index="0" exp="area" dr="O74:O79" r="O80" sId="4"/>
    <undo index="0" exp="area" dr="N74:N79" r="N80" sId="4"/>
    <undo index="0" exp="area" dr="M74:M79" r="M80" sId="4"/>
    <undo index="0" exp="area" dr="L74:L79" r="L80" sId="4"/>
    <undo index="0" exp="area" dr="K74:K79" r="K80" sId="4"/>
    <undo index="2" exp="ref" v="1" dr="N74" r="P75" sId="4"/>
    <undo index="2" exp="ref" v="1" dr="M74" r="O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180 - Преход</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+K10+K13+K16+K19+K22+K25+K28+K31</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+L10+L13+L16+L19+L22+L25+L28+L31</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medium">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8" sId="4" ref="A74:XFD74" action="deleteRow">
    <undo index="0" exp="area" dr="O74:O78" r="O79" sId="4"/>
    <undo index="0" exp="area" dr="N74:N78" r="N79" sId="4"/>
    <undo index="0" exp="area" dr="M74:M78" r="M79" sId="4"/>
    <undo index="0" exp="area" dr="L74:L78" r="L79" sId="4"/>
    <undo index="0" exp="area" dr="K74:K78" r="K79"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alignment vertical="center" readingOrder="0"/>
      </dxf>
    </rfmt>
    <rfmt sheetId="4" sqref="I74" start="0" length="0">
      <dxf>
        <font>
          <sz val="9"/>
          <color auto="1"/>
          <name val="Times New Roman"/>
          <scheme val="none"/>
        </font>
        <numFmt numFmtId="3" formatCode="#,##0"/>
      </dxf>
    </rfmt>
    <rcc rId="0" sId="4" s="1" dxf="1">
      <nc r="J74" t="inlineStr">
        <is>
          <t>180 - По-слабо развити</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+K11+K14+K17+K20+K23+K26+K29+K32</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+L11+L14+L17+L20+L23+L26+L29+L32</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medium">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cc rId="0" sId="4" s="1" dxf="1">
      <nc r="O74">
        <f>+M74+#REF!</f>
      </nc>
      <ndxf>
        <font>
          <b/>
          <sz val="9"/>
          <color auto="1"/>
          <name val="Times New Roman"/>
          <scheme val="none"/>
        </font>
        <numFmt numFmtId="4" formatCode="#,##0.00"/>
        <alignment vertical="center" readingOrder="0"/>
      </ndxf>
    </rcc>
    <rcc rId="0" sId="4" s="1" dxf="1">
      <nc r="P74">
        <f>+N74+#REF!</f>
      </nc>
      <ndxf>
        <font>
          <b/>
          <sz val="9"/>
          <color auto="1"/>
          <name val="Times New Roman"/>
          <scheme val="none"/>
        </font>
        <numFmt numFmtId="4" formatCode="#,##0.00"/>
        <alignment vertical="center" readingOrder="0"/>
      </ndxf>
    </rcc>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69" sId="4" ref="A74:XFD74" action="deleteRow">
    <undo index="0" exp="area" dr="O74:O77" r="O78" sId="4"/>
    <undo index="0" exp="area" dr="N74:N77" r="N78" sId="4"/>
    <undo index="0" exp="area" dr="M74:M77" r="M78" sId="4"/>
    <undo index="0" exp="area" dr="L74:L77" r="L78" sId="4"/>
    <undo index="0" exp="area" dr="K74:K77" r="K78" sId="4"/>
    <undo index="2" exp="ref" v="1" dr="N74" r="P75" sId="4"/>
    <undo index="2" exp="ref" v="1" dr="M74" r="O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dxf>
    </rfmt>
    <rfmt sheetId="4" sqref="I74" start="0" length="0">
      <dxf>
        <font>
          <sz val="9"/>
          <color auto="1"/>
          <name val="Times New Roman"/>
          <scheme val="none"/>
        </font>
        <numFmt numFmtId="3" formatCode="#,##0"/>
      </dxf>
    </rfmt>
    <rcc rId="0" sId="4" s="1" dxf="1">
      <nc r="J74" t="inlineStr">
        <is>
          <t>181- Преход</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+K4+K7+K49+K55</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+L4+L7+L49+L55</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thin">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0" sId="4" ref="A74:XFD74" action="deleteRow">
    <undo index="0" exp="area" dr="O74:O76" r="O77" sId="4"/>
    <undo index="0" exp="area" dr="N74:N76" r="N77" sId="4"/>
    <undo index="0" exp="area" dr="M74:M76" r="M77" sId="4"/>
    <undo index="0" exp="area" dr="L74:L76" r="L77" sId="4"/>
    <undo index="0" exp="area" dr="K74:K76" r="K77"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alignment vertical="center" readingOrder="0"/>
      </dxf>
    </rfmt>
    <rfmt sheetId="4" sqref="I74" start="0" length="0">
      <dxf>
        <font>
          <sz val="9"/>
          <color auto="1"/>
          <name val="Times New Roman"/>
          <scheme val="none"/>
        </font>
        <numFmt numFmtId="3" formatCode="#,##0"/>
      </dxf>
    </rfmt>
    <rcc rId="0" sId="4" s="1" dxf="1">
      <nc r="J74" t="inlineStr">
        <is>
          <t>181 - По-слабо развити</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+K5+K8+K50+K56</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+L5+L8+L50+L56</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thin">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cc rId="0" sId="4" s="1" dxf="1">
      <nc r="O74">
        <f>+M74+#REF!</f>
      </nc>
      <ndxf>
        <font>
          <b/>
          <sz val="9"/>
          <color auto="1"/>
          <name val="Times New Roman"/>
          <scheme val="none"/>
        </font>
        <numFmt numFmtId="4" formatCode="#,##0.00"/>
        <alignment vertical="center" readingOrder="0"/>
      </ndxf>
    </rcc>
    <rcc rId="0" sId="4" s="1" dxf="1">
      <nc r="P74">
        <f>+N74+#REF!</f>
      </nc>
      <ndxf>
        <font>
          <b/>
          <sz val="9"/>
          <color auto="1"/>
          <name val="Times New Roman"/>
          <scheme val="none"/>
        </font>
        <numFmt numFmtId="4" formatCode="#,##0.00"/>
        <alignment vertical="center" readingOrder="0"/>
      </ndxf>
    </rcc>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1" sId="4" ref="A74:XFD74" action="deleteRow">
    <undo index="0" exp="area" dr="O74:O75" r="O76" sId="4"/>
    <undo index="0" exp="area" dr="N74:N75" r="N76" sId="4"/>
    <undo index="0" exp="area" dr="M74:M75" r="M76" sId="4"/>
    <undo index="0" exp="area" dr="L74:L75" r="L76" sId="4"/>
    <undo index="0" exp="area" dr="K74:K75" r="K76" sId="4"/>
    <undo index="2" exp="ref" v="1" dr="N74" r="P75" sId="4"/>
    <undo index="2" exp="ref" v="1" dr="M74" r="O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dxf>
    </rfmt>
    <rfmt sheetId="4" sqref="I74" start="0" length="0">
      <dxf>
        <font>
          <sz val="9"/>
          <color auto="1"/>
          <name val="Times New Roman"/>
          <scheme val="none"/>
        </font>
        <numFmt numFmtId="3" formatCode="#,##0"/>
      </dxf>
    </rfmt>
    <rcc rId="0" sId="4" s="1" dxf="1">
      <nc r="J74" t="inlineStr">
        <is>
          <t>182 - Преход</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+K34+K37+K40+K43+K46</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+L34+L37+L40+L43+L46</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medium">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2" sId="4" ref="A74:XFD74" action="deleteRow">
    <undo index="0" exp="area" dr="O74" r="O75" sId="4"/>
    <undo index="0" exp="area" dr="N74" r="N75" sId="4"/>
    <undo index="0" exp="area" dr="M74" r="M75" sId="4"/>
    <undo index="0" exp="area" dr="L74" r="L75" sId="4"/>
    <undo index="0" exp="area" dr="K74" r="K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alignment vertical="center" readingOrder="0"/>
      </dxf>
    </rfmt>
    <rfmt sheetId="4" sqref="I74" start="0" length="0">
      <dxf>
        <font>
          <sz val="9"/>
          <color auto="1"/>
          <name val="Times New Roman"/>
          <scheme val="none"/>
        </font>
        <numFmt numFmtId="3" formatCode="#,##0"/>
      </dxf>
    </rfmt>
    <rcc rId="0" sId="4" s="1" dxf="1">
      <nc r="J74" t="inlineStr">
        <is>
          <t>182 - По-слабо развити</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thin">
            <color indexed="64"/>
          </bottom>
        </border>
      </ndxf>
    </rcc>
    <rcc rId="0" sId="4" s="1" dxf="1">
      <nc r="K74">
        <f>+K35+K38+K41+K44+K47</f>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L74">
        <f>+L35+L38+L41+L44+L47</f>
      </nc>
      <ndxf>
        <font>
          <sz val="9"/>
          <color auto="1"/>
          <name val="Times New Roman"/>
          <scheme val="none"/>
        </font>
        <numFmt numFmtId="3" formatCode="#,##0"/>
        <fill>
          <patternFill>
            <bgColor theme="0" tint="-0.14999847407452621"/>
          </patternFill>
        </fill>
        <alignment vertical="bottom" readingOrder="0"/>
        <border outline="0">
          <left style="thin">
            <color indexed="64"/>
          </left>
          <right style="medium">
            <color indexed="64"/>
          </right>
          <top style="thin">
            <color indexed="64"/>
          </top>
          <bottom style="thin">
            <color indexed="64"/>
          </bottom>
        </border>
      </ndxf>
    </rcc>
    <rcc rId="0" sId="4" dxf="1">
      <nc r="M74">
        <f>ROUND(K74,0)</f>
      </nc>
      <ndxf>
        <font>
          <sz val="9"/>
          <color auto="1"/>
          <name val="Times New Roman"/>
          <scheme val="none"/>
        </font>
        <numFmt numFmtId="3" formatCode="#,##0"/>
      </ndxf>
    </rcc>
    <rcc rId="0" sId="4" dxf="1">
      <nc r="N74">
        <f>+ROUND(L74,0)</f>
      </nc>
      <ndxf>
        <font>
          <sz val="9"/>
          <color auto="1"/>
          <name val="Times New Roman"/>
          <scheme val="none"/>
        </font>
        <numFmt numFmtId="3" formatCode="#,##0"/>
      </ndxf>
    </rcc>
    <rcc rId="0" sId="4" s="1" dxf="1">
      <nc r="O74">
        <f>+M74+#REF!</f>
      </nc>
      <ndxf>
        <font>
          <b/>
          <sz val="9"/>
          <color auto="1"/>
          <name val="Times New Roman"/>
          <scheme val="none"/>
        </font>
        <numFmt numFmtId="4" formatCode="#,##0.00"/>
        <alignment vertical="center" readingOrder="0"/>
      </ndxf>
    </rcc>
    <rcc rId="0" sId="4" s="1" dxf="1">
      <nc r="P74">
        <f>+N74+#REF!</f>
      </nc>
      <ndxf>
        <font>
          <b/>
          <sz val="9"/>
          <color auto="1"/>
          <name val="Times New Roman"/>
          <scheme val="none"/>
        </font>
        <numFmt numFmtId="4" formatCode="#,##0.00"/>
        <alignment vertical="center" readingOrder="0"/>
      </ndxf>
    </rcc>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3"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14" formatCode="0.00%"/>
        <alignment vertical="center" readingOrder="0"/>
      </dxf>
    </rfmt>
    <rfmt sheetId="4" sqref="I74" start="0" length="0">
      <dxf>
        <font>
          <sz val="9"/>
          <color auto="1"/>
          <name val="Times New Roman"/>
          <scheme val="none"/>
        </font>
        <numFmt numFmtId="3" formatCode="#,##0"/>
      </dxf>
    </rfmt>
    <rcc rId="0" sId="4" s="1" dxf="1">
      <nc r="J74" t="inlineStr">
        <is>
          <t>Общо</t>
        </is>
      </nc>
      <ndxf>
        <font>
          <b/>
          <sz val="9"/>
          <color auto="1"/>
          <name val="Times New Roman"/>
          <scheme val="none"/>
        </font>
        <numFmt numFmtId="3" formatCode="#,##0"/>
        <alignment vertical="bottom" readingOrder="0"/>
        <border outline="0">
          <left style="medium">
            <color indexed="64"/>
          </left>
          <right style="thin">
            <color indexed="64"/>
          </right>
          <top style="thin">
            <color indexed="64"/>
          </top>
          <bottom style="medium">
            <color indexed="64"/>
          </bottom>
        </border>
      </ndxf>
    </rcc>
    <rcc rId="0" sId="4" s="1" dxf="1">
      <nc r="K74">
        <f>SUM(#REF!)</f>
      </nc>
      <ndxf>
        <font>
          <b/>
          <sz val="9"/>
          <color auto="1"/>
          <name val="Times New Roman"/>
          <scheme val="none"/>
        </font>
        <numFmt numFmtId="3" formatCode="#,##0"/>
        <alignment vertical="bottom" readingOrder="0"/>
        <border outline="0">
          <left style="thin">
            <color indexed="64"/>
          </left>
          <right style="thin">
            <color indexed="64"/>
          </right>
          <top style="thin">
            <color indexed="64"/>
          </top>
          <bottom style="medium">
            <color indexed="64"/>
          </bottom>
        </border>
      </ndxf>
    </rcc>
    <rcc rId="0" sId="4" s="1" dxf="1">
      <nc r="L74">
        <f>SUM(#REF!)</f>
      </nc>
      <ndxf>
        <font>
          <b/>
          <sz val="9"/>
          <color auto="1"/>
          <name val="Times New Roman"/>
          <scheme val="none"/>
        </font>
        <numFmt numFmtId="3" formatCode="#,##0"/>
        <fill>
          <patternFill>
            <bgColor theme="0" tint="-0.14999847407452621"/>
          </patternFill>
        </fill>
        <alignment vertical="bottom" readingOrder="0"/>
        <border outline="0">
          <left style="thin">
            <color indexed="64"/>
          </left>
          <right style="medium">
            <color indexed="64"/>
          </right>
          <top style="thin">
            <color indexed="64"/>
          </top>
          <bottom style="medium">
            <color indexed="64"/>
          </bottom>
        </border>
      </ndxf>
    </rcc>
    <rcc rId="0" sId="4" dxf="1">
      <nc r="M74">
        <f>SUM(#REF!)</f>
      </nc>
      <ndxf>
        <font>
          <sz val="9"/>
          <color auto="1"/>
          <name val="Times New Roman"/>
          <scheme val="none"/>
        </font>
        <numFmt numFmtId="3" formatCode="#,##0"/>
      </ndxf>
    </rcc>
    <rcc rId="0" sId="4" dxf="1">
      <nc r="N74">
        <f>SUM(#REF!)</f>
      </nc>
      <ndxf>
        <font>
          <sz val="9"/>
          <color auto="1"/>
          <name val="Times New Roman"/>
          <scheme val="none"/>
        </font>
        <numFmt numFmtId="3" formatCode="#,##0"/>
      </ndxf>
    </rcc>
    <rcc rId="0" sId="4" s="1" dxf="1">
      <nc r="O74">
        <f>SUM(#REF!)</f>
      </nc>
      <ndxf>
        <font>
          <b/>
          <sz val="9"/>
          <color auto="1"/>
          <name val="Times New Roman"/>
          <scheme val="none"/>
        </font>
        <numFmt numFmtId="4" formatCode="#,##0.00"/>
        <alignment vertical="center" readingOrder="0"/>
      </ndxf>
    </rcc>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4"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qref="J74" start="0" length="0">
      <dxf>
        <font>
          <sz val="9"/>
          <color auto="1"/>
          <name val="Times New Roman"/>
          <scheme val="none"/>
        </font>
        <numFmt numFmtId="3" formatCode="#,##0"/>
      </dxf>
    </rfmt>
    <rfmt sheetId="4" sqref="K74" start="0" length="0">
      <dxf>
        <font>
          <sz val="9"/>
          <color auto="1"/>
          <name val="Times New Roman"/>
          <scheme val="none"/>
        </font>
      </dxf>
    </rfmt>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5"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1" sqref="J74" start="0" length="0">
      <dxf>
        <font>
          <sz val="9"/>
          <color auto="1"/>
          <name val="Times New Roman"/>
          <scheme val="none"/>
        </font>
        <numFmt numFmtId="3" formatCode="#,##0"/>
        <alignment vertical="bottom" readingOrder="0"/>
      </dxf>
    </rfmt>
    <rcc rId="0" sId="4" dxf="1">
      <nc r="K74" t="inlineStr">
        <is>
          <t>ЕС част, евро, закръглено</t>
        </is>
      </nc>
      <ndxf>
        <font>
          <b/>
          <sz val="9"/>
          <color auto="1"/>
          <name val="Times New Roman"/>
          <scheme val="none"/>
        </font>
        <alignment horizontal="center" readingOrder="0"/>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6" sId="4" ref="A74:XFD74" action="deleteRow">
    <undo index="0" exp="ref" v="1" dr="K74" r="K84" sId="4"/>
    <undo index="0" exp="area" dr="K74:K81" r="K82"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179 - Преход</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2864592</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qref="N74" start="0" length="0">
      <dxf>
        <font>
          <sz val="9"/>
          <color auto="1"/>
          <name val="Times New Roman"/>
          <scheme val="none"/>
        </font>
        <numFmt numFmtId="3" formatCode="#,##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7" sId="4" ref="A74:XFD74" action="deleteRow">
    <undo index="0" exp="ref" v="1" dr="K74" r="K84" sId="4"/>
    <undo index="0" exp="area" dr="K74:K80" r="K81"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179 - По-слабо развити</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17800078</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8" sId="4" ref="A74:XFD74" action="deleteRow">
    <undo index="2" exp="ref" v="1" dr="K74" r="K82" sId="4"/>
    <undo index="0" exp="area" dr="K74:K79" r="K80"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180 - Преход</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6701640</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79" sId="4" ref="A74:XFD74" action="deleteRow">
    <undo index="2" exp="ref" v="1" dr="K74" r="K82" sId="4"/>
    <undo index="0" exp="area" dr="K74:K78" r="K79"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180 - По-слабо развити</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41642827</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0" sId="4" ref="A74:XFD74" action="deleteRow">
    <undo index="4" exp="ref" v="1" dr="K74" r="K80" sId="4"/>
    <undo index="0" exp="area" dr="K74:K77" r="K78"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181 - Преход</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1552391</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1" sId="4" ref="A74:XFD74" action="deleteRow">
    <undo index="4" exp="ref" v="1" dr="K74" r="K80" sId="4"/>
    <undo index="0" exp="area" dr="K74:K76" r="K77"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181 - По-слабо развити</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9646291</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2" sId="4" ref="A74:XFD74" action="deleteRow">
    <undo index="6" exp="ref" v="1" dr="K74" r="K78" sId="4"/>
    <undo index="0" exp="area" dr="K74:K75" r="K76"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182 - Преход</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2782390</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3" sId="4" ref="A74:XFD74" action="deleteRow">
    <undo index="6" exp="ref" v="1" dr="K74" r="K78" sId="4"/>
    <undo index="0" exp="area" dr="K74" r="K75" sId="4"/>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182 - По-слабо развити</t>
        </is>
      </nc>
      <ndxf>
        <font>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umFmtId="4">
      <nc r="K74">
        <v>17289291</v>
      </nc>
      <ndxf>
        <font>
          <sz val="9"/>
          <color theme="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4"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Общо</t>
        </is>
      </nc>
      <ndxf>
        <font>
          <b/>
          <sz val="9"/>
          <color auto="1"/>
          <name val="Times New Roman"/>
          <scheme val="none"/>
        </font>
        <numFmt numFmtId="3" formatCode="#,##0"/>
        <alignment vertical="bottom" readingOrder="0"/>
        <border outline="0">
          <left style="thin">
            <color indexed="64"/>
          </left>
          <right style="thin">
            <color indexed="64"/>
          </right>
          <top style="thin">
            <color indexed="64"/>
          </top>
          <bottom style="thin">
            <color indexed="64"/>
          </bottom>
        </border>
      </ndxf>
    </rcc>
    <rcc rId="0" sId="4" s="1" dxf="1">
      <nc r="K74">
        <f>SUM(#REF!)</f>
      </nc>
      <ndxf>
        <font>
          <b/>
          <sz val="9"/>
          <color auto="1"/>
          <name val="Times New Roman"/>
          <scheme val="none"/>
        </font>
        <numFmt numFmtId="4" formatCode="#,##0.00"/>
        <alignment vertical="bottom" readingOrder="0"/>
        <border outline="0">
          <left style="thin">
            <color indexed="64"/>
          </left>
          <right style="thin">
            <color indexed="64"/>
          </right>
          <top style="thin">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5"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fill>
          <patternFill patternType="none">
            <bgColor indexed="65"/>
          </patternFill>
        </fill>
      </dxf>
    </rfmt>
    <rfmt sheetId="4" sqref="B74" start="0" length="0">
      <dxf>
        <font>
          <sz val="9"/>
          <color auto="1"/>
          <name val="Times New Roman"/>
          <scheme val="none"/>
        </font>
        <numFmt numFmtId="3" formatCode="#,##0"/>
        <fill>
          <patternFill patternType="none">
            <bgColor indexed="65"/>
          </patternFill>
        </fill>
      </dxf>
    </rfmt>
    <rfmt sheetId="4" sqref="C74" start="0" length="0">
      <dxf>
        <font>
          <sz val="9"/>
          <color auto="1"/>
          <name val="Times New Roman"/>
          <scheme val="none"/>
        </font>
        <numFmt numFmtId="3" formatCode="#,##0"/>
        <fill>
          <patternFill patternType="none">
            <bgColor indexed="65"/>
          </patternFill>
        </fill>
        <alignment horizontal="center" readingOrder="0"/>
      </dxf>
    </rfmt>
    <rfmt sheetId="4" sqref="D74" start="0" length="0">
      <dxf>
        <font>
          <sz val="9"/>
          <color auto="1"/>
          <name val="Times New Roman"/>
          <scheme val="none"/>
        </font>
        <numFmt numFmtId="3" formatCode="#,##0"/>
        <fill>
          <patternFill patternType="none">
            <bgColor indexed="65"/>
          </patternFill>
        </fill>
        <alignment horizontal="center" readingOrder="0"/>
      </dxf>
    </rfmt>
    <rfmt sheetId="4" sqref="E74" start="0" length="0">
      <dxf>
        <font>
          <sz val="9"/>
          <color auto="1"/>
          <name val="Times New Roman"/>
          <scheme val="none"/>
        </font>
        <numFmt numFmtId="3" formatCode="#,##0"/>
        <fill>
          <patternFill patternType="none">
            <bgColor indexed="65"/>
          </patternFill>
        </fill>
      </dxf>
    </rfmt>
    <rfmt sheetId="4" s="1" sqref="F74" start="0" length="0">
      <dxf>
        <font>
          <sz val="9"/>
          <color auto="1"/>
          <name val="Times New Roman"/>
          <scheme val="none"/>
        </font>
        <numFmt numFmtId="13" formatCode="0%"/>
        <fill>
          <patternFill patternType="none">
            <bgColor indexed="65"/>
          </patternFill>
        </fill>
        <alignment vertical="bottom" readingOrder="0"/>
      </dxf>
    </rfmt>
    <rfmt sheetId="4" sqref="G74" start="0" length="0">
      <dxf>
        <font>
          <i/>
          <sz val="9"/>
          <color auto="1"/>
          <name val="Times New Roman"/>
          <scheme val="none"/>
        </font>
        <numFmt numFmtId="3" formatCode="#,##0"/>
        <fill>
          <patternFill patternType="none">
            <bgColor indexed="65"/>
          </patternFill>
        </fill>
      </dxf>
    </rfmt>
    <rfmt sheetId="4" sqref="H74" start="0" length="0">
      <dxf>
        <font>
          <sz val="9"/>
          <color auto="1"/>
          <name val="Times New Roman"/>
          <scheme val="none"/>
        </font>
        <numFmt numFmtId="3" formatCode="#,##0"/>
        <fill>
          <patternFill patternType="none">
            <bgColor indexed="65"/>
          </patternFill>
        </fill>
      </dxf>
    </rfmt>
    <rfmt sheetId="4" sqref="I74" start="0" length="0">
      <dxf>
        <font>
          <sz val="9"/>
          <color auto="1"/>
          <name val="Times New Roman"/>
          <scheme val="none"/>
        </font>
        <numFmt numFmtId="3" formatCode="#,##0"/>
        <fill>
          <patternFill patternType="none">
            <bgColor indexed="65"/>
          </patternFill>
        </fill>
      </dxf>
    </rfmt>
    <rfmt sheetId="4" sqref="J74" start="0" length="0">
      <dxf>
        <font>
          <sz val="9"/>
          <color auto="1"/>
          <name val="Times New Roman"/>
          <scheme val="none"/>
        </font>
        <numFmt numFmtId="3" formatCode="#,##0"/>
        <fill>
          <patternFill patternType="none">
            <bgColor indexed="65"/>
          </patternFill>
        </fill>
      </dxf>
    </rfmt>
    <rfmt sheetId="4" sqref="K74" start="0" length="0">
      <dxf>
        <font>
          <sz val="9"/>
          <color auto="1"/>
          <name val="Times New Roman"/>
          <scheme val="none"/>
        </font>
        <numFmt numFmtId="3" formatCode="#,##0"/>
        <fill>
          <patternFill patternType="none">
            <bgColor indexed="65"/>
          </patternFill>
        </fill>
      </dxf>
    </rfmt>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6"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Преход</t>
        </is>
      </nc>
      <ndxf>
        <font>
          <sz val="9"/>
          <color auto="1"/>
          <name val="Times New Roman"/>
          <scheme val="none"/>
        </font>
        <numFmt numFmtId="3" formatCode="#,##0"/>
        <alignment horizontal="right" vertical="bottom" readingOrder="0"/>
        <border outline="0">
          <left style="medium">
            <color indexed="64"/>
          </left>
          <right style="thin">
            <color indexed="64"/>
          </right>
          <top style="medium">
            <color indexed="64"/>
          </top>
          <bottom style="thin">
            <color indexed="64"/>
          </bottom>
        </border>
      </ndxf>
    </rcc>
    <rcc rId="0" sId="4" s="1" dxf="1">
      <nc r="K74">
        <f>+#REF!+#REF!+#REF!+#REF!</f>
      </nc>
      <ndxf>
        <font>
          <sz val="9"/>
          <color auto="1"/>
          <name val="Times New Roman"/>
          <scheme val="none"/>
        </font>
        <numFmt numFmtId="3" formatCode="#,##0"/>
        <alignment vertical="bottom" readingOrder="0"/>
        <border outline="0">
          <left style="thin">
            <color indexed="64"/>
          </left>
          <right style="medium">
            <color indexed="64"/>
          </right>
          <top style="medium">
            <color indexed="64"/>
          </top>
          <bottom style="thin">
            <color indexed="64"/>
          </bottom>
        </border>
      </ndxf>
    </rcc>
    <rfmt sheetId="4" s="1" sqref="L74" start="0" length="0">
      <dxf>
        <font>
          <sz val="9"/>
          <color auto="1"/>
          <name val="Times New Roman"/>
          <scheme val="none"/>
        </font>
        <numFmt numFmtId="3" formatCode="#,##0"/>
        <fill>
          <patternFill>
            <bgColor theme="0" tint="-0.14999847407452621"/>
          </patternFill>
        </fill>
        <alignment vertical="bottom" readingOrder="0"/>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7"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cc rId="0" sId="4" s="1" dxf="1">
      <nc r="J74" t="inlineStr">
        <is>
          <t>По-слабо развити</t>
        </is>
      </nc>
      <ndxf>
        <font>
          <sz val="9"/>
          <color auto="1"/>
          <name val="Times New Roman"/>
          <scheme val="none"/>
        </font>
        <numFmt numFmtId="3" formatCode="#,##0"/>
        <alignment horizontal="right" vertical="bottom" readingOrder="0"/>
        <border outline="0">
          <left style="medium">
            <color indexed="64"/>
          </left>
          <right style="thin">
            <color indexed="64"/>
          </right>
          <top style="thin">
            <color indexed="64"/>
          </top>
          <bottom style="medium">
            <color indexed="64"/>
          </bottom>
        </border>
      </ndxf>
    </rcc>
    <rcc rId="0" sId="4" s="1" dxf="1">
      <nc r="K74">
        <f>+#REF!+#REF!+#REF!+#REF!</f>
      </nc>
      <ndxf>
        <font>
          <sz val="9"/>
          <color auto="1"/>
          <name val="Times New Roman"/>
          <scheme val="none"/>
        </font>
        <numFmt numFmtId="3" formatCode="#,##0"/>
        <alignment vertical="bottom" readingOrder="0"/>
        <border outline="0">
          <left style="thin">
            <color indexed="64"/>
          </left>
          <right style="medium">
            <color indexed="64"/>
          </right>
          <top style="thin">
            <color indexed="64"/>
          </top>
          <bottom style="medium">
            <color indexed="64"/>
          </bottom>
        </border>
      </ndxf>
    </rcc>
    <rfmt sheetId="4" sqref="L74" start="0" length="0">
      <dxf>
        <font>
          <sz val="9"/>
          <color auto="1"/>
          <name val="Times New Roman"/>
          <scheme val="none"/>
        </font>
        <numFmt numFmtId="3" formatCode="#,##0"/>
        <fill>
          <patternFill>
            <bgColor theme="0" tint="-0.14999847407452621"/>
          </patternFill>
        </fill>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8"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qref="J74" start="0" length="0">
      <dxf>
        <font>
          <sz val="9"/>
          <color auto="1"/>
          <name val="Times New Roman"/>
          <scheme val="none"/>
        </font>
        <numFmt numFmtId="3" formatCode="#,##0"/>
      </dxf>
    </rfmt>
    <rfmt sheetId="4" sqref="K74" start="0" length="0">
      <dxf>
        <font>
          <sz val="9"/>
          <color auto="1"/>
          <name val="Times New Roman"/>
          <scheme val="none"/>
        </font>
        <numFmt numFmtId="3" formatCode="#,##0"/>
      </dxf>
    </rfmt>
    <rfmt sheetId="4" sqref="L74" start="0" length="0">
      <dxf>
        <font>
          <sz val="9"/>
          <color auto="1"/>
          <name val="Times New Roman"/>
          <scheme val="none"/>
        </font>
        <numFmt numFmtId="3" formatCode="#,##0"/>
        <fill>
          <patternFill>
            <bgColor theme="0" tint="-0.14999847407452621"/>
          </patternFill>
        </fill>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89"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qref="J74" start="0" length="0">
      <dxf>
        <font>
          <sz val="9"/>
          <color auto="1"/>
          <name val="Times New Roman"/>
          <scheme val="none"/>
        </font>
        <numFmt numFmtId="3" formatCode="#,##0"/>
      </dxf>
    </rfmt>
    <rfmt sheetId="4" sqref="K74" start="0" length="0">
      <dxf>
        <font>
          <sz val="9"/>
          <color auto="1"/>
          <name val="Times New Roman"/>
          <scheme val="none"/>
        </font>
        <numFmt numFmtId="3" formatCode="#,##0"/>
      </dxf>
    </rfmt>
    <rfmt sheetId="4" sqref="L74" start="0" length="0">
      <dxf>
        <font>
          <sz val="9"/>
          <color auto="1"/>
          <name val="Times New Roman"/>
          <scheme val="none"/>
        </font>
        <numFmt numFmtId="3" formatCode="#,##0"/>
        <fill>
          <patternFill>
            <bgColor theme="0" tint="-0.14999847407452621"/>
          </patternFill>
        </fill>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rc rId="1290" sId="4" ref="A74:XFD74" action="deleteRow">
    <rfmt sheetId="4" xfDxf="1" sqref="A74:XFD74" start="0" length="0">
      <dxf>
        <font>
          <sz val="9"/>
          <color theme="0"/>
          <name val="Times New Roman"/>
          <scheme val="none"/>
        </font>
        <fill>
          <patternFill patternType="solid">
            <bgColor theme="0"/>
          </patternFill>
        </fill>
        <alignment vertical="top" wrapText="1" readingOrder="0"/>
      </dxf>
    </rfmt>
    <rfmt sheetId="4" sqref="A74" start="0" length="0">
      <dxf>
        <font>
          <sz val="9"/>
          <color auto="1"/>
          <name val="Times New Roman"/>
          <scheme val="none"/>
        </font>
        <numFmt numFmtId="3" formatCode="#,##0"/>
      </dxf>
    </rfmt>
    <rfmt sheetId="4" sqref="B74" start="0" length="0">
      <dxf>
        <font>
          <sz val="9"/>
          <color auto="1"/>
          <name val="Times New Roman"/>
          <scheme val="none"/>
        </font>
        <numFmt numFmtId="3" formatCode="#,##0"/>
      </dxf>
    </rfmt>
    <rfmt sheetId="4" sqref="C74" start="0" length="0">
      <dxf>
        <font>
          <sz val="9"/>
          <color auto="1"/>
          <name val="Times New Roman"/>
          <scheme val="none"/>
        </font>
        <numFmt numFmtId="3" formatCode="#,##0"/>
        <alignment horizontal="center" readingOrder="0"/>
      </dxf>
    </rfmt>
    <rfmt sheetId="4" sqref="D74" start="0" length="0">
      <dxf>
        <font>
          <sz val="9"/>
          <color auto="1"/>
          <name val="Times New Roman"/>
          <scheme val="none"/>
        </font>
        <numFmt numFmtId="3" formatCode="#,##0"/>
        <alignment horizontal="center" readingOrder="0"/>
      </dxf>
    </rfmt>
    <rfmt sheetId="4" sqref="E74" start="0" length="0">
      <dxf>
        <font>
          <sz val="9"/>
          <color auto="1"/>
          <name val="Times New Roman"/>
          <scheme val="none"/>
        </font>
        <numFmt numFmtId="3" formatCode="#,##0"/>
      </dxf>
    </rfmt>
    <rfmt sheetId="4" s="1" sqref="F74" start="0" length="0">
      <dxf>
        <font>
          <sz val="9"/>
          <color auto="1"/>
          <name val="Times New Roman"/>
          <scheme val="none"/>
        </font>
        <numFmt numFmtId="13" formatCode="0%"/>
        <alignment vertical="bottom" readingOrder="0"/>
      </dxf>
    </rfmt>
    <rfmt sheetId="4" sqref="G74" start="0" length="0">
      <dxf>
        <font>
          <i/>
          <sz val="9"/>
          <color auto="1"/>
          <name val="Times New Roman"/>
          <scheme val="none"/>
        </font>
        <numFmt numFmtId="3" formatCode="#,##0"/>
      </dxf>
    </rfmt>
    <rfmt sheetId="4" sqref="H74" start="0" length="0">
      <dxf>
        <font>
          <sz val="9"/>
          <color auto="1"/>
          <name val="Times New Roman"/>
          <scheme val="none"/>
        </font>
        <numFmt numFmtId="3" formatCode="#,##0"/>
      </dxf>
    </rfmt>
    <rfmt sheetId="4" sqref="I74" start="0" length="0">
      <dxf>
        <font>
          <sz val="9"/>
          <color auto="1"/>
          <name val="Times New Roman"/>
          <scheme val="none"/>
        </font>
        <numFmt numFmtId="3" formatCode="#,##0"/>
      </dxf>
    </rfmt>
    <rfmt sheetId="4" sqref="J74" start="0" length="0">
      <dxf>
        <font>
          <sz val="9"/>
          <color auto="1"/>
          <name val="Times New Roman"/>
          <scheme val="none"/>
        </font>
        <numFmt numFmtId="3" formatCode="#,##0"/>
      </dxf>
    </rfmt>
    <rfmt sheetId="4" sqref="K74" start="0" length="0">
      <dxf>
        <font>
          <sz val="9"/>
          <color auto="1"/>
          <name val="Times New Roman"/>
          <scheme val="none"/>
        </font>
        <numFmt numFmtId="3" formatCode="#,##0"/>
      </dxf>
    </rfmt>
    <rfmt sheetId="4" sqref="L74" start="0" length="0">
      <dxf>
        <font>
          <sz val="9"/>
          <color auto="1"/>
          <name val="Times New Roman"/>
          <scheme val="none"/>
        </font>
        <numFmt numFmtId="3" formatCode="#,##0"/>
        <fill>
          <patternFill>
            <bgColor theme="0" tint="-0.14999847407452621"/>
          </patternFill>
        </fill>
      </dxf>
    </rfmt>
    <rfmt sheetId="4" sqref="M74" start="0" length="0">
      <dxf>
        <font>
          <sz val="9"/>
          <color auto="1"/>
          <name val="Times New Roman"/>
          <scheme val="none"/>
        </font>
        <numFmt numFmtId="3" formatCode="#,##0"/>
      </dxf>
    </rfmt>
    <rfmt sheetId="4" s="1" sqref="N74" start="0" length="0">
      <dxf>
        <font>
          <b/>
          <sz val="9"/>
          <color auto="1"/>
          <name val="Times New Roman"/>
          <scheme val="none"/>
        </font>
        <numFmt numFmtId="4" formatCode="#,##0.00"/>
        <alignment vertical="center" readingOrder="0"/>
      </dxf>
    </rfmt>
    <rfmt sheetId="4" s="1" sqref="O74" start="0" length="0">
      <dxf>
        <font>
          <b/>
          <sz val="9"/>
          <color auto="1"/>
          <name val="Times New Roman"/>
          <scheme val="none"/>
        </font>
        <numFmt numFmtId="4" formatCode="#,##0.00"/>
        <alignment vertical="center" readingOrder="0"/>
      </dxf>
    </rfmt>
    <rfmt sheetId="4" s="1" sqref="P74" start="0" length="0">
      <dxf>
        <font>
          <b/>
          <sz val="9"/>
          <color auto="1"/>
          <name val="Times New Roman"/>
          <scheme val="none"/>
        </font>
        <numFmt numFmtId="4" formatCode="#,##0.00"/>
        <alignment vertical="center" readingOrder="0"/>
      </dxf>
    </rfmt>
    <rfmt sheetId="4" s="1" sqref="Q74" start="0" length="0">
      <dxf>
        <font>
          <b/>
          <sz val="9"/>
          <color auto="1"/>
          <name val="Times New Roman"/>
          <scheme val="none"/>
        </font>
        <numFmt numFmtId="4" formatCode="#,##0.00"/>
        <alignment vertical="center" readingOrder="0"/>
      </dxf>
    </rfmt>
    <rfmt sheetId="4" s="1" sqref="R74" start="0" length="0">
      <dxf>
        <font>
          <b/>
          <sz val="9"/>
          <color auto="1"/>
          <name val="Times New Roman"/>
          <scheme val="none"/>
        </font>
        <numFmt numFmtId="4" formatCode="#,##0.00"/>
        <alignment vertical="center" readingOrder="0"/>
      </dxf>
    </rfmt>
    <rfmt sheetId="4" s="1" sqref="S74" start="0" length="0">
      <dxf>
        <font>
          <b/>
          <sz val="9"/>
          <color auto="1"/>
          <name val="Times New Roman"/>
          <scheme val="none"/>
        </font>
        <numFmt numFmtId="4" formatCode="#,##0.00"/>
        <alignment vertical="center" readingOrder="0"/>
      </dxf>
    </rfmt>
    <rfmt sheetId="4" sqref="T74" start="0" length="0">
      <dxf>
        <font>
          <sz val="9"/>
          <color auto="1"/>
          <name val="Times New Roman"/>
          <scheme val="none"/>
        </font>
      </dxf>
    </rfmt>
    <rfmt sheetId="4" sqref="U74" start="0" length="0">
      <dxf>
        <font>
          <sz val="9"/>
          <color auto="1"/>
          <name val="Times New Roman"/>
          <scheme val="none"/>
        </font>
      </dxf>
    </rfmt>
  </rrc>
  <rfmt sheetId="4" sqref="L1:L1048576">
    <dxf>
      <fill>
        <patternFill>
          <bgColor theme="0"/>
        </patternFill>
      </fill>
    </dxf>
  </rfmt>
  <rfmt sheetId="4" s="1" sqref="L67" start="0" length="0">
    <dxf>
      <fill>
        <patternFill>
          <bgColor theme="9" tint="0.79998168889431442"/>
        </patternFill>
      </fill>
      <border outline="0">
        <left style="thin">
          <color indexed="64"/>
        </left>
        <right style="thin">
          <color indexed="64"/>
        </right>
        <top style="thin">
          <color indexed="64"/>
        </top>
        <bottom style="thin">
          <color indexed="64"/>
        </bottom>
      </border>
    </dxf>
  </rfmt>
  <rfmt sheetId="4" s="1" sqref="L68" start="0" length="0">
    <dxf>
      <fill>
        <patternFill>
          <bgColor theme="9" tint="0.79998168889431442"/>
        </patternFill>
      </fill>
      <border outline="0">
        <left style="thin">
          <color indexed="64"/>
        </left>
        <right style="thin">
          <color indexed="64"/>
        </right>
        <top style="thin">
          <color indexed="64"/>
        </top>
        <bottom style="thin">
          <color indexed="64"/>
        </bottom>
      </border>
    </dxf>
  </rfmt>
  <rfmt sheetId="4" s="1" sqref="L66" start="0" length="0">
    <dxf>
      <fill>
        <patternFill>
          <bgColor theme="0" tint="-0.14999847407452621"/>
        </patternFill>
      </fill>
    </dxf>
  </rfmt>
  <rfmt sheetId="4" s="1" sqref="L64" start="0" length="0">
    <dxf>
      <fill>
        <patternFill>
          <bgColor theme="9" tint="0.79998168889431442"/>
        </patternFill>
      </fill>
    </dxf>
  </rfmt>
  <rfmt sheetId="4" s="1" sqref="L65" start="0" length="0">
    <dxf>
      <fill>
        <patternFill>
          <bgColor theme="9" tint="0.79998168889431442"/>
        </patternFill>
      </fill>
    </dxf>
  </rfmt>
  <rfmt sheetId="4" s="1" sqref="L63" start="0" length="0">
    <dxf>
      <fill>
        <patternFill>
          <bgColor theme="0" tint="-0.14999847407452621"/>
        </patternFill>
      </fill>
    </dxf>
  </rfmt>
  <rfmt sheetId="4" s="1" sqref="L61" start="0" length="0">
    <dxf>
      <fill>
        <patternFill>
          <bgColor theme="9" tint="0.79998168889431442"/>
        </patternFill>
      </fill>
    </dxf>
  </rfmt>
  <rfmt sheetId="4" s="1" sqref="L62" start="0" length="0">
    <dxf>
      <fill>
        <patternFill>
          <bgColor theme="9" tint="0.79998168889431442"/>
        </patternFill>
      </fill>
    </dxf>
  </rfmt>
  <rfmt sheetId="4" sqref="L60" start="0" length="0">
    <dxf>
      <fill>
        <patternFill>
          <bgColor theme="0" tint="-0.14999847407452621"/>
        </patternFill>
      </fill>
    </dxf>
  </rfmt>
  <rfmt sheetId="4" sqref="L57" start="0" length="0">
    <dxf>
      <fill>
        <patternFill>
          <bgColor theme="0" tint="-0.14999847407452621"/>
        </patternFill>
      </fill>
    </dxf>
  </rfmt>
  <rfmt sheetId="4" s="1" sqref="L58" start="0" length="0">
    <dxf>
      <fill>
        <patternFill>
          <bgColor theme="9" tint="0.79998168889431442"/>
        </patternFill>
      </fill>
    </dxf>
  </rfmt>
  <rfmt sheetId="4" s="1" sqref="L59" start="0" length="0">
    <dxf>
      <fill>
        <patternFill>
          <bgColor theme="9" tint="0.79998168889431442"/>
        </patternFill>
      </fill>
    </dxf>
  </rfmt>
  <rfmt sheetId="4" sqref="L3" start="0" length="0">
    <dxf>
      <fill>
        <patternFill>
          <bgColor theme="0" tint="-0.14999847407452621"/>
        </patternFill>
      </fill>
    </dxf>
  </rfmt>
  <rfmt sheetId="4" sqref="L4" start="0" length="0">
    <dxf>
      <fill>
        <patternFill>
          <bgColor theme="9" tint="0.79998168889431442"/>
        </patternFill>
      </fill>
    </dxf>
  </rfmt>
  <rfmt sheetId="4" sqref="L5" start="0" length="0">
    <dxf>
      <fill>
        <patternFill>
          <bgColor theme="9" tint="0.79998168889431442"/>
        </patternFill>
      </fill>
    </dxf>
  </rfmt>
  <rfmt sheetId="4" sqref="L6" start="0" length="0">
    <dxf>
      <fill>
        <patternFill>
          <bgColor theme="0" tint="-0.14999847407452621"/>
        </patternFill>
      </fill>
    </dxf>
  </rfmt>
  <rfmt sheetId="4" s="1" sqref="L7" start="0" length="0">
    <dxf>
      <fill>
        <patternFill>
          <bgColor theme="9" tint="0.79998168889431442"/>
        </patternFill>
      </fill>
    </dxf>
  </rfmt>
  <rfmt sheetId="4" s="1" sqref="L8" start="0" length="0">
    <dxf>
      <fill>
        <patternFill>
          <bgColor theme="9" tint="0.79998168889431442"/>
        </patternFill>
      </fill>
    </dxf>
  </rfmt>
  <rfmt sheetId="4" sqref="L9" start="0" length="0">
    <dxf>
      <fill>
        <patternFill>
          <bgColor theme="0" tint="-0.14999847407452621"/>
        </patternFill>
      </fill>
    </dxf>
  </rfmt>
  <rfmt sheetId="4" s="1" sqref="L10" start="0" length="0">
    <dxf>
      <fill>
        <patternFill>
          <bgColor theme="9" tint="0.79998168889431442"/>
        </patternFill>
      </fill>
    </dxf>
  </rfmt>
  <rfmt sheetId="4" s="1" sqref="L11" start="0" length="0">
    <dxf>
      <fill>
        <patternFill>
          <bgColor theme="9" tint="0.79998168889431442"/>
        </patternFill>
      </fill>
    </dxf>
  </rfmt>
  <rfmt sheetId="4" sqref="L12" start="0" length="0">
    <dxf>
      <fill>
        <patternFill>
          <bgColor theme="0" tint="-0.14999847407452621"/>
        </patternFill>
      </fill>
    </dxf>
  </rfmt>
  <rfmt sheetId="4" s="1" sqref="L13" start="0" length="0">
    <dxf>
      <fill>
        <patternFill>
          <bgColor theme="9" tint="0.79998168889431442"/>
        </patternFill>
      </fill>
    </dxf>
  </rfmt>
  <rfmt sheetId="4" s="1" sqref="L14" start="0" length="0">
    <dxf>
      <fill>
        <patternFill>
          <bgColor theme="9" tint="0.79998168889431442"/>
        </patternFill>
      </fill>
    </dxf>
  </rfmt>
  <rfmt sheetId="4" sqref="L15" start="0" length="0">
    <dxf>
      <fill>
        <patternFill>
          <bgColor theme="0" tint="-0.14999847407452621"/>
        </patternFill>
      </fill>
    </dxf>
  </rfmt>
  <rfmt sheetId="4" s="1" sqref="L16" start="0" length="0">
    <dxf>
      <fill>
        <patternFill>
          <bgColor theme="9" tint="0.79998168889431442"/>
        </patternFill>
      </fill>
    </dxf>
  </rfmt>
  <rfmt sheetId="4" s="1" sqref="L17" start="0" length="0">
    <dxf>
      <fill>
        <patternFill>
          <bgColor theme="9" tint="0.79998168889431442"/>
        </patternFill>
      </fill>
    </dxf>
  </rfmt>
  <rfmt sheetId="4" sqref="L18" start="0" length="0">
    <dxf>
      <fill>
        <patternFill>
          <bgColor theme="0" tint="-0.14999847407452621"/>
        </patternFill>
      </fill>
    </dxf>
  </rfmt>
  <rfmt sheetId="4" sqref="L19" start="0" length="0">
    <dxf>
      <fill>
        <patternFill>
          <bgColor theme="9" tint="0.79998168889431442"/>
        </patternFill>
      </fill>
    </dxf>
  </rfmt>
  <rfmt sheetId="4" sqref="L20" start="0" length="0">
    <dxf>
      <fill>
        <patternFill>
          <bgColor theme="9" tint="0.79998168889431442"/>
        </patternFill>
      </fill>
    </dxf>
  </rfmt>
  <rfmt sheetId="4" sqref="L21" start="0" length="0">
    <dxf>
      <fill>
        <patternFill>
          <bgColor theme="0" tint="-0.14999847407452621"/>
        </patternFill>
      </fill>
    </dxf>
  </rfmt>
  <rcv guid="{AD504361-49F3-4986-BDBF-FB73E2299976}" action="delete"/>
  <rdn rId="0" localSheetId="1" customView="1" name="Z_AD504361_49F3_4986_BDBF_FB73E2299976_.wvu.PrintArea" hidden="1" oldHidden="1">
    <formula>'Финансови бюджетни '!$A$4:$L$16</formula>
    <oldFormula>'Финансови бюджетни '!$A$4:$L$16</oldFormula>
  </rdn>
  <rdn rId="0" localSheetId="2" customView="1" name="Z_AD504361_49F3_4986_BDBF_FB73E2299976_.wvu.PrintArea" hidden="1" oldHidden="1">
    <formula>'Финансов план на ПТП'!$A$2:$M$18</formula>
    <oldFormula>'Финансов план на ПТП'!$A$2:$M$18</oldFormula>
  </rdn>
  <rdn rId="0" localSheetId="3" customView="1" name="Z_AD504361_49F3_4986_BDBF_FB73E2299976_.wvu.PrintArea" hidden="1" oldHidden="1">
    <formula>'ОПНО_визия евро'!$A$1:$O$30</formula>
    <oldFormula>'ОПНО_визия евро'!$A$1:$O$30</oldFormula>
  </rdn>
  <rdn rId="0" localSheetId="4" customView="1" name="Z_AD504361_49F3_4986_BDBF_FB73E2299976_.wvu.PrintArea" hidden="1" oldHidden="1">
    <formula>'ПОКАЗАТЕЛИ ПТП '!$A$1:$F$68</formula>
    <oldFormula>'ПОКАЗАТЕЛИ ПТП '!$A$1:$F$68</oldFormula>
  </rdn>
  <rdn rId="0" localSheetId="4" customView="1" name="Z_AD504361_49F3_4986_BDBF_FB73E2299976_.wvu.FilterData" hidden="1" oldHidden="1">
    <formula>'ПОКАЗАТЕЛИ ПТП '!$A$1:$M$70</formula>
    <oldFormula>'ПОКАЗАТЕЛИ ПТП '!$A$1:$M$70</oldFormula>
  </rdn>
  <rdn rId="0" localSheetId="7" customView="1" name="Z_AD504361_49F3_4986_BDBF_FB73E2299976_.wvu.PrintArea" hidden="1" oldHidden="1">
    <formula>П3_Наука_Инфраструктура!$A$1:$L$16</formula>
    <oldFormula>П3_Наука_Инфраструктура!$A$1:$L$16</oldFormula>
  </rdn>
  <rdn rId="0" localSheetId="8" customView="1" name="Z_AD504361_49F3_4986_BDBF_FB73E2299976_.wvu.PrintArea" hidden="1" oldHidden="1">
    <formula>'П3_Наука Изследвания'!$A$1:$M$14</formula>
    <oldFormula>'П3_Наука Изследвания'!$A$1:$M$14</oldFormula>
  </rdn>
  <rdn rId="0" localSheetId="9" customView="1" name="Z_AD504361_49F3_4986_BDBF_FB73E2299976_.wvu.PrintArea" hidden="1" oldHidden="1">
    <formula>П3_Наука_Хоризонт!$A$1:$M$18</formula>
    <oldFormula>П3_Наука_Хоризонт!$A$1:$M$18</oldFormula>
  </rdn>
  <rdn rId="0" localSheetId="9" customView="1" name="Z_AD504361_49F3_4986_BDBF_FB73E2299976_.wvu.Cols" hidden="1" oldHidden="1">
    <formula>П3_Наука_Хоризонт!$N:$O</formula>
    <oldFormula>П3_Наука_Хоризонт!$N:$O</oldFormula>
  </rdn>
  <rcv guid="{AD504361-49F3-4986-BDBF-FB73E2299976}" action="add"/>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1" sqref="L22" start="0" length="0">
    <dxf>
      <fill>
        <patternFill>
          <bgColor theme="9" tint="0.79998168889431442"/>
        </patternFill>
      </fill>
    </dxf>
  </rfmt>
  <rfmt sheetId="4" s="1" sqref="L23" start="0" length="0">
    <dxf>
      <fill>
        <patternFill>
          <bgColor theme="9" tint="0.79998168889431442"/>
        </patternFill>
      </fill>
    </dxf>
  </rfmt>
  <rfmt sheetId="4" sqref="L24" start="0" length="0">
    <dxf>
      <fill>
        <patternFill>
          <bgColor theme="0" tint="-0.14999847407452621"/>
        </patternFill>
      </fill>
    </dxf>
  </rfmt>
  <rfmt sheetId="4" s="1" sqref="L25" start="0" length="0">
    <dxf>
      <fill>
        <patternFill>
          <bgColor theme="9" tint="0.79998168889431442"/>
        </patternFill>
      </fill>
    </dxf>
  </rfmt>
  <rfmt sheetId="4" s="1" sqref="L26" start="0" length="0">
    <dxf>
      <fill>
        <patternFill>
          <bgColor theme="9" tint="0.79998168889431442"/>
        </patternFill>
      </fill>
    </dxf>
  </rfmt>
  <rfmt sheetId="4" sqref="L27" start="0" length="0">
    <dxf>
      <fill>
        <patternFill>
          <bgColor theme="0" tint="-0.14999847407452621"/>
        </patternFill>
      </fill>
    </dxf>
  </rfmt>
  <rfmt sheetId="4" s="1" sqref="L28" start="0" length="0">
    <dxf>
      <fill>
        <patternFill>
          <bgColor theme="9" tint="0.79998168889431442"/>
        </patternFill>
      </fill>
    </dxf>
  </rfmt>
  <rfmt sheetId="4" s="1" sqref="L29" start="0" length="0">
    <dxf>
      <fill>
        <patternFill>
          <bgColor theme="9" tint="0.79998168889431442"/>
        </patternFill>
      </fill>
    </dxf>
  </rfmt>
  <rfmt sheetId="4" sqref="L30" start="0" length="0">
    <dxf>
      <fill>
        <patternFill>
          <bgColor theme="0" tint="-0.14999847407452621"/>
        </patternFill>
      </fill>
    </dxf>
  </rfmt>
  <rfmt sheetId="4" sqref="L31" start="0" length="0">
    <dxf>
      <fill>
        <patternFill>
          <bgColor theme="9" tint="0.79998168889431442"/>
        </patternFill>
      </fill>
    </dxf>
  </rfmt>
  <rfmt sheetId="4" sqref="L32" start="0" length="0">
    <dxf>
      <fill>
        <patternFill>
          <bgColor theme="9" tint="0.79998168889431442"/>
        </patternFill>
      </fill>
    </dxf>
  </rfmt>
  <rfmt sheetId="4" s="1" sqref="L33" start="0" length="0">
    <dxf>
      <fill>
        <patternFill>
          <bgColor theme="0" tint="-0.14999847407452621"/>
        </patternFill>
      </fill>
    </dxf>
  </rfmt>
  <rfmt sheetId="4" s="1" sqref="L34" start="0" length="0">
    <dxf>
      <fill>
        <patternFill>
          <bgColor theme="9" tint="0.79998168889431442"/>
        </patternFill>
      </fill>
    </dxf>
  </rfmt>
  <rfmt sheetId="4" s="1" sqref="L35" start="0" length="0">
    <dxf>
      <fill>
        <patternFill>
          <bgColor theme="9" tint="0.79998168889431442"/>
        </patternFill>
      </fill>
    </dxf>
  </rfmt>
  <rfmt sheetId="4" s="1" sqref="L36" start="0" length="0">
    <dxf>
      <fill>
        <patternFill>
          <bgColor theme="0" tint="-0.14999847407452621"/>
        </patternFill>
      </fill>
    </dxf>
  </rfmt>
  <rfmt sheetId="4" s="1" sqref="L37" start="0" length="0">
    <dxf>
      <fill>
        <patternFill>
          <bgColor theme="9" tint="0.79998168889431442"/>
        </patternFill>
      </fill>
    </dxf>
  </rfmt>
  <rfmt sheetId="4" s="1" sqref="L38" start="0" length="0">
    <dxf>
      <fill>
        <patternFill>
          <bgColor theme="9" tint="0.79998168889431442"/>
        </patternFill>
      </fill>
    </dxf>
  </rfmt>
  <rfmt sheetId="4" s="1" sqref="L39" start="0" length="0">
    <dxf>
      <fill>
        <patternFill>
          <bgColor theme="0" tint="-0.14999847407452621"/>
        </patternFill>
      </fill>
    </dxf>
  </rfmt>
  <rfmt sheetId="4" s="1" sqref="L40" start="0" length="0">
    <dxf>
      <fill>
        <patternFill>
          <bgColor theme="9" tint="0.79998168889431442"/>
        </patternFill>
      </fill>
    </dxf>
  </rfmt>
  <rfmt sheetId="4" s="1" sqref="L41" start="0" length="0">
    <dxf>
      <fill>
        <patternFill>
          <bgColor theme="9" tint="0.79998168889431442"/>
        </patternFill>
      </fill>
    </dxf>
  </rfmt>
  <rfmt sheetId="4" sqref="L42" start="0" length="0">
    <dxf>
      <fill>
        <patternFill>
          <bgColor theme="0" tint="-0.14999847407452621"/>
        </patternFill>
      </fill>
    </dxf>
  </rfmt>
  <rfmt sheetId="4" s="1" sqref="L43" start="0" length="0">
    <dxf>
      <fill>
        <patternFill>
          <bgColor theme="9" tint="0.79998168889431442"/>
        </patternFill>
      </fill>
    </dxf>
  </rfmt>
  <rfmt sheetId="4" s="1" sqref="L44" start="0" length="0">
    <dxf>
      <fill>
        <patternFill>
          <bgColor theme="9" tint="0.79998168889431442"/>
        </patternFill>
      </fill>
    </dxf>
  </rfmt>
  <rfmt sheetId="4" sqref="L45" start="0" length="0">
    <dxf>
      <fill>
        <patternFill>
          <bgColor theme="0" tint="-0.14999847407452621"/>
        </patternFill>
      </fill>
    </dxf>
  </rfmt>
  <rfmt sheetId="4" s="1" sqref="L46" start="0" length="0">
    <dxf>
      <fill>
        <patternFill>
          <bgColor theme="9" tint="0.79998168889431442"/>
        </patternFill>
      </fill>
    </dxf>
  </rfmt>
  <rfmt sheetId="4" s="1" sqref="L47" start="0" length="0">
    <dxf>
      <fill>
        <patternFill>
          <bgColor theme="9" tint="0.79998168889431442"/>
        </patternFill>
      </fill>
    </dxf>
  </rfmt>
  <rfmt sheetId="4" s="1" sqref="L48" start="0" length="0">
    <dxf>
      <fill>
        <patternFill>
          <bgColor theme="0" tint="-0.14999847407452621"/>
        </patternFill>
      </fill>
    </dxf>
  </rfmt>
  <rfmt sheetId="4" sqref="L49" start="0" length="0">
    <dxf>
      <fill>
        <patternFill>
          <bgColor theme="9" tint="0.79998168889431442"/>
        </patternFill>
      </fill>
    </dxf>
  </rfmt>
  <rfmt sheetId="4" sqref="L50" start="0" length="0">
    <dxf>
      <fill>
        <patternFill>
          <bgColor theme="9" tint="0.79998168889431442"/>
        </patternFill>
      </fill>
    </dxf>
  </rfmt>
  <rfmt sheetId="4" sqref="L51" start="0" length="0">
    <dxf>
      <fill>
        <patternFill>
          <bgColor theme="0" tint="-0.14999847407452621"/>
        </patternFill>
      </fill>
    </dxf>
  </rfmt>
  <rfmt sheetId="4" sqref="L52" start="0" length="0">
    <dxf>
      <fill>
        <patternFill>
          <bgColor theme="9" tint="0.79998168889431442"/>
        </patternFill>
      </fill>
    </dxf>
  </rfmt>
  <rfmt sheetId="4" sqref="L53" start="0" length="0">
    <dxf>
      <fill>
        <patternFill>
          <bgColor theme="9" tint="0.79998168889431442"/>
        </patternFill>
      </fill>
    </dxf>
  </rfmt>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L54" start="0" length="0">
    <dxf>
      <fill>
        <patternFill>
          <bgColor theme="0" tint="-0.14999847407452621"/>
        </patternFill>
      </fill>
    </dxf>
  </rfmt>
  <rfmt sheetId="4" sqref="L55" start="0" length="0">
    <dxf>
      <fill>
        <patternFill>
          <bgColor theme="9" tint="0.79998168889431442"/>
        </patternFill>
      </fill>
    </dxf>
  </rfmt>
  <rfmt sheetId="4" sqref="L56" start="0" length="0">
    <dxf>
      <fill>
        <patternFill>
          <bgColor theme="9" tint="0.79998168889431442"/>
        </patternFill>
      </fill>
    </dxf>
  </rfmt>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N69" start="0" length="0">
    <dxf>
      <border>
        <left style="thin">
          <color indexed="64"/>
        </left>
      </border>
    </dxf>
  </rfmt>
  <rfmt sheetId="4" sqref="N69:S69" start="0" length="0">
    <dxf>
      <border>
        <top style="thin">
          <color indexed="64"/>
        </top>
      </border>
    </dxf>
  </rfmt>
  <rfmt sheetId="4" sqref="S69" start="0" length="0">
    <dxf>
      <border>
        <right style="thin">
          <color indexed="64"/>
        </right>
      </border>
    </dxf>
  </rfmt>
  <rfmt sheetId="4" sqref="N69:S69" start="0" length="0">
    <dxf>
      <border>
        <bottom style="thin">
          <color indexed="64"/>
        </bottom>
      </border>
    </dxf>
  </rfmt>
  <rfmt sheetId="4" sqref="N69:S69">
    <dxf>
      <border>
        <left style="thin">
          <color indexed="64"/>
        </left>
        <right style="thin">
          <color indexed="64"/>
        </right>
        <top style="thin">
          <color indexed="64"/>
        </top>
        <bottom style="thin">
          <color indexed="64"/>
        </bottom>
        <vertical style="thin">
          <color indexed="64"/>
        </vertical>
        <horizontal style="thin">
          <color indexed="64"/>
        </horizontal>
      </border>
    </dxf>
  </rfmt>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0" sId="4">
    <oc r="A39" t="inlineStr">
      <is>
        <t xml:space="preserve">(О2-3) Дял на обучените, преминали успешно тест за усвоени знания </t>
      </is>
    </oc>
    <nc r="A39" t="inlineStr">
      <is>
        <t xml:space="preserve">(О2-3) Дял на обучените лица/служители, преминали успешно тест за усвоени знания </t>
      </is>
    </nc>
  </rcc>
  <rcc rId="1301" sId="4">
    <oc r="A36" t="inlineStr">
      <is>
        <t>(О2-2) Брой обучени</t>
      </is>
    </oc>
    <nc r="A36" t="inlineStr">
      <is>
        <t>(О2-2) Брой обучени лица служители</t>
      </is>
    </nc>
  </rc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1" sId="4">
    <oc r="A36" t="inlineStr">
      <is>
        <t>(О2-2) Брой обучени лица служители</t>
      </is>
    </oc>
    <nc r="A36" t="inlineStr">
      <is>
        <t>(О2-2) Брой обучени лица/служители</t>
      </is>
    </nc>
  </rcc>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12" sId="5">
    <oc r="B14" t="inlineStr">
      <is>
        <t xml:space="preserve">Брой обучени </t>
      </is>
    </oc>
    <nc r="B14" t="inlineStr">
      <is>
        <t>Брой обучени лица/служители</t>
      </is>
    </nc>
  </rcc>
  <rcc rId="1313" sId="5">
    <oc r="B15" t="inlineStr">
      <is>
        <t xml:space="preserve">Дял на обучените, преминали успешно тест за усвоени знания </t>
      </is>
    </oc>
    <nc r="B15" t="inlineStr">
      <is>
        <t xml:space="preserve">Дял на обучените лица/служители, преминали успешно тест за усвоени знания </t>
      </is>
    </nc>
  </rcc>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2A281B9-28FB-4D0E-8C01-BFBADAC8C3C9}" action="delete"/>
  <rdn rId="0" localSheetId="1" customView="1" name="Z_32A281B9_28FB_4D0E_8C01_BFBADAC8C3C9_.wvu.PrintArea" hidden="1" oldHidden="1">
    <formula>'Финансови бюджетни '!$A$4:$L$16</formula>
    <oldFormula>'Финансови бюджетни '!$A$4:$L$16</oldFormula>
  </rdn>
  <rdn rId="0" localSheetId="2" customView="1" name="Z_32A281B9_28FB_4D0E_8C01_BFBADAC8C3C9_.wvu.PrintArea" hidden="1" oldHidden="1">
    <formula>'Финансов план на ПТП'!$A$2:$M$18</formula>
    <oldFormula>'Финансов план на ПТП'!$A$2:$M$18</oldFormula>
  </rdn>
  <rdn rId="0" localSheetId="3" customView="1" name="Z_32A281B9_28FB_4D0E_8C01_BFBADAC8C3C9_.wvu.PrintArea" hidden="1" oldHidden="1">
    <formula>'ОПНО_визия евро'!$A$1:$O$30</formula>
    <oldFormula>'ОПНО_визия евро'!$A$1:$O$30</oldFormula>
  </rdn>
  <rdn rId="0" localSheetId="4" customView="1" name="Z_32A281B9_28FB_4D0E_8C01_BFBADAC8C3C9_.wvu.PrintArea" hidden="1" oldHidden="1">
    <formula>'ПОКАЗАТЕЛИ ПТП '!$A$1:$F$68</formula>
    <oldFormula>'ПОКАЗАТЕЛИ ПТП '!$A$1:$F$68</oldFormula>
  </rdn>
  <rdn rId="0" localSheetId="4" customView="1" name="Z_32A281B9_28FB_4D0E_8C01_BFBADAC8C3C9_.wvu.FilterData" hidden="1" oldHidden="1">
    <formula>'ПОКАЗАТЕЛИ ПТП '!$A$1:$M$70</formula>
    <oldFormula>'ПОКАЗАТЕЛИ ПТП '!$A$1:$M$70</oldFormula>
  </rdn>
  <rdn rId="0" localSheetId="7" customView="1" name="Z_32A281B9_28FB_4D0E_8C01_BFBADAC8C3C9_.wvu.PrintArea" hidden="1" oldHidden="1">
    <formula>П3_Наука_Инфраструктура!$A$1:$L$16</formula>
    <oldFormula>П3_Наука_Инфраструктура!$A$1:$L$16</oldFormula>
  </rdn>
  <rdn rId="0" localSheetId="8" customView="1" name="Z_32A281B9_28FB_4D0E_8C01_BFBADAC8C3C9_.wvu.PrintArea" hidden="1" oldHidden="1">
    <formula>'П3_Наука Изследвания'!$A$1:$M$14</formula>
    <oldFormula>'П3_Наука Изследвания'!$A$1:$M$14</oldFormula>
  </rdn>
  <rdn rId="0" localSheetId="9" customView="1" name="Z_32A281B9_28FB_4D0E_8C01_BFBADAC8C3C9_.wvu.PrintArea" hidden="1" oldHidden="1">
    <formula>П3_Наука_Хоризонт!$A$1:$M$18</formula>
    <oldFormula>П3_Наука_Хоризонт!$A$1:$M$18</oldFormula>
  </rdn>
  <rdn rId="0" localSheetId="9" customView="1" name="Z_32A281B9_28FB_4D0E_8C01_BFBADAC8C3C9_.wvu.Cols" hidden="1" oldHidden="1">
    <formula>П3_Наука_Хоризонт!$N:$O</formula>
    <oldFormula>П3_Наука_Хоризонт!$N:$O</oldFormula>
  </rdn>
  <rcv guid="{32A281B9-28FB-4D0E-8C01-BFBADAC8C3C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DE419AE1-55C7-41E8-9A94-E4062EF30970}" action="delete"/>
  <rdn rId="0" localSheetId="1" customView="1" name="Z_DE419AE1_55C7_41E8_9A94_E4062EF30970_.wvu.PrintArea" hidden="1" oldHidden="1">
    <formula>'Финансови бюджетни '!$A$4:$L$16</formula>
    <oldFormula>'Финансови бюджетни '!$A$4:$L$16</oldFormula>
  </rdn>
  <rdn rId="0" localSheetId="2" customView="1" name="Z_DE419AE1_55C7_41E8_9A94_E4062EF30970_.wvu.PrintArea" hidden="1" oldHidden="1">
    <formula>'Финансов план на ПТП'!$A$2:$M$18</formula>
    <oldFormula>'Финансов план на ПТП'!$A$2:$M$18</oldFormula>
  </rdn>
  <rdn rId="0" localSheetId="3" customView="1" name="Z_DE419AE1_55C7_41E8_9A94_E4062EF30970_.wvu.PrintArea" hidden="1" oldHidden="1">
    <formula>'ОПНО_визия евро'!$A$1:$O$30</formula>
    <oldFormula>'ОПНО_визия евро'!$A$1:$O$30</oldFormula>
  </rdn>
  <rdn rId="0" localSheetId="4" customView="1" name="Z_DE419AE1_55C7_41E8_9A94_E4062EF30970_.wvu.PrintArea" hidden="1" oldHidden="1">
    <formula>'ПОКАЗАТЕЛИ ПТП '!$A$1:$F$68</formula>
    <oldFormula>'ПОКАЗАТЕЛИ ПТП '!$A$1:$F$68</oldFormula>
  </rdn>
  <rdn rId="0" localSheetId="4" customView="1" name="Z_DE419AE1_55C7_41E8_9A94_E4062EF30970_.wvu.FilterData" hidden="1" oldHidden="1">
    <formula>'ПОКАЗАТЕЛИ ПТП '!$A$1:$M$70</formula>
    <oldFormula>'ПОКАЗАТЕЛИ ПТП '!$A$1:$M$70</oldFormula>
  </rdn>
  <rdn rId="0" localSheetId="7" customView="1" name="Z_DE419AE1_55C7_41E8_9A94_E4062EF30970_.wvu.PrintArea" hidden="1" oldHidden="1">
    <formula>П3_Наука_Инфраструктура!$A$1:$L$16</formula>
    <oldFormula>П3_Наука_Инфраструктура!$A$1:$L$16</oldFormula>
  </rdn>
  <rdn rId="0" localSheetId="8" customView="1" name="Z_DE419AE1_55C7_41E8_9A94_E4062EF30970_.wvu.PrintArea" hidden="1" oldHidden="1">
    <formula>'П3_Наука Изследвания'!$A$1:$M$14</formula>
    <oldFormula>'П3_Наука Изследвания'!$A$1:$M$14</oldFormula>
  </rdn>
  <rdn rId="0" localSheetId="9" customView="1" name="Z_DE419AE1_55C7_41E8_9A94_E4062EF30970_.wvu.PrintArea" hidden="1" oldHidden="1">
    <formula>П3_Наука_Хоризонт!$A$1:$M$18</formula>
    <oldFormula>П3_Наука_Хоризонт!$A$1:$M$18</oldFormula>
  </rdn>
  <rdn rId="0" localSheetId="9" customView="1" name="Z_DE419AE1_55C7_41E8_9A94_E4062EF30970_.wvu.Cols" hidden="1" oldHidden="1">
    <formula>П3_Наука_Хоризонт!$N:$O</formula>
    <oldFormula>П3_Наука_Хоризонт!$N:$O</oldFormula>
  </rdn>
  <rcv guid="{DE419AE1-55C7-41E8-9A94-E4062EF30970}"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2A281B9-28FB-4D0E-8C01-BFBADAC8C3C9}" action="delete"/>
  <rdn rId="0" localSheetId="1" customView="1" name="Z_32A281B9_28FB_4D0E_8C01_BFBADAC8C3C9_.wvu.PrintArea" hidden="1" oldHidden="1">
    <formula>'Финансови бюджетни '!$A$4:$L$16</formula>
    <oldFormula>'Финансови бюджетни '!$A$4:$L$16</oldFormula>
  </rdn>
  <rdn rId="0" localSheetId="2" customView="1" name="Z_32A281B9_28FB_4D0E_8C01_BFBADAC8C3C9_.wvu.PrintArea" hidden="1" oldHidden="1">
    <formula>'Финансов план на ПТП'!$A$2:$M$18</formula>
    <oldFormula>'Финансов план на ПТП'!$A$2:$M$18</oldFormula>
  </rdn>
  <rdn rId="0" localSheetId="3" customView="1" name="Z_32A281B9_28FB_4D0E_8C01_BFBADAC8C3C9_.wvu.PrintArea" hidden="1" oldHidden="1">
    <formula>'ОПНО_визия евро'!$A$1:$O$30</formula>
    <oldFormula>'ОПНО_визия евро'!$A$1:$O$30</oldFormula>
  </rdn>
  <rdn rId="0" localSheetId="4" customView="1" name="Z_32A281B9_28FB_4D0E_8C01_BFBADAC8C3C9_.wvu.PrintArea" hidden="1" oldHidden="1">
    <formula>'ПОКАЗАТЕЛИ ПТП '!$A$1:$F$68</formula>
    <oldFormula>'ПОКАЗАТЕЛИ ПТП '!$A$1:$F$68</oldFormula>
  </rdn>
  <rdn rId="0" localSheetId="4" customView="1" name="Z_32A281B9_28FB_4D0E_8C01_BFBADAC8C3C9_.wvu.Cols" hidden="1" oldHidden="1">
    <formula>'ПОКАЗАТЕЛИ ПТП '!$E:$I</formula>
  </rdn>
  <rdn rId="0" localSheetId="4" customView="1" name="Z_32A281B9_28FB_4D0E_8C01_BFBADAC8C3C9_.wvu.FilterData" hidden="1" oldHidden="1">
    <formula>'ПОКАЗАТЕЛИ ПТП '!$A$1:$M$70</formula>
    <oldFormula>'ПОКАЗАТЕЛИ ПТП '!$A$1:$M$70</oldFormula>
  </rdn>
  <rdn rId="0" localSheetId="7" customView="1" name="Z_32A281B9_28FB_4D0E_8C01_BFBADAC8C3C9_.wvu.PrintArea" hidden="1" oldHidden="1">
    <formula>П3_Наука_Инфраструктура!$A$1:$L$16</formula>
    <oldFormula>П3_Наука_Инфраструктура!$A$1:$L$16</oldFormula>
  </rdn>
  <rdn rId="0" localSheetId="8" customView="1" name="Z_32A281B9_28FB_4D0E_8C01_BFBADAC8C3C9_.wvu.PrintArea" hidden="1" oldHidden="1">
    <formula>'П3_Наука Изследвания'!$A$1:$M$14</formula>
    <oldFormula>'П3_Наука Изследвания'!$A$1:$M$14</oldFormula>
  </rdn>
  <rdn rId="0" localSheetId="9" customView="1" name="Z_32A281B9_28FB_4D0E_8C01_BFBADAC8C3C9_.wvu.PrintArea" hidden="1" oldHidden="1">
    <formula>П3_Наука_Хоризонт!$A$1:$M$18</formula>
    <oldFormula>П3_Наука_Хоризонт!$A$1:$M$18</oldFormula>
  </rdn>
  <rdn rId="0" localSheetId="9" customView="1" name="Z_32A281B9_28FB_4D0E_8C01_BFBADAC8C3C9_.wvu.Cols" hidden="1" oldHidden="1">
    <formula>П3_Наука_Хоризонт!$N:$O</formula>
    <oldFormula>П3_Наука_Хоризонт!$N:$O</oldFormula>
  </rdn>
  <rcv guid="{32A281B9-28FB-4D0E-8C01-BFBADAC8C3C9}" action="add"/>
</revisions>
</file>

<file path=xl/revisions/revisionLog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3" sId="4">
    <oc r="A30" t="inlineStr">
      <is>
        <t>(О1-10) Служители на Системата, чиито възнаграждения се възстановяват</t>
      </is>
    </oc>
    <nc r="A30" t="inlineStr">
      <is>
        <r>
          <t xml:space="preserve">(О1-10) Служители на Системата, чиито възнаграждения се възстановяват по </t>
        </r>
        <r>
          <rPr>
            <b/>
            <sz val="9"/>
            <color rgb="FFFF0000"/>
            <rFont val="Times New Roman"/>
            <family val="1"/>
            <charset val="204"/>
          </rPr>
          <t>Програмата (средно претеглена стойност)</t>
        </r>
      </is>
    </nc>
  </rcc>
</revisions>
</file>

<file path=xl/revisions/revisionLog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34" sId="4" odxf="1" dxf="1">
    <oc r="A30" t="inlineStr">
      <is>
        <r>
          <t xml:space="preserve">(О1-10) Служители на Системата, чиито възнаграждения се възстановяват по </t>
        </r>
        <r>
          <rPr>
            <b/>
            <sz val="9"/>
            <color rgb="FFFF0000"/>
            <rFont val="Times New Roman"/>
            <family val="1"/>
            <charset val="204"/>
          </rPr>
          <t>Програмата (средно претеглена стойност)</t>
        </r>
      </is>
    </oc>
    <nc r="A30" t="inlineStr">
      <is>
        <t>(О1-10) Служители на Системата, чиито възнаграждения се възстановяват по Програмата (средно претеглена стойност)</t>
      </is>
    </nc>
    <odxf>
      <font>
        <sz val="9"/>
        <name val="Times New Roman"/>
        <scheme val="none"/>
      </font>
    </odxf>
    <ndxf>
      <font>
        <sz val="9"/>
        <color auto="1"/>
        <name val="Times New Roman"/>
        <scheme val="none"/>
      </font>
    </ndxf>
  </rcc>
</revisions>
</file>

<file path=xl/revisions/revisionLog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4" customView="1" name="Z_32A281B9_28FB_4D0E_8C01_BFBADAC8C3C9_.wvu.Cols" hidden="1" oldHidden="1">
    <oldFormula>'ПОКАЗАТЕЛИ ПТП '!$E:$I</oldFormula>
  </rdn>
  <rcv guid="{32A281B9-28FB-4D0E-8C01-BFBADAC8C3C9}" action="delete"/>
  <rdn rId="0" localSheetId="1" customView="1" name="Z_32A281B9_28FB_4D0E_8C01_BFBADAC8C3C9_.wvu.PrintArea" hidden="1" oldHidden="1">
    <formula>'Финансови бюджетни '!$A$4:$L$16</formula>
    <oldFormula>'Финансови бюджетни '!$A$4:$L$16</oldFormula>
  </rdn>
  <rdn rId="0" localSheetId="2" customView="1" name="Z_32A281B9_28FB_4D0E_8C01_BFBADAC8C3C9_.wvu.PrintArea" hidden="1" oldHidden="1">
    <formula>'Финансов план на ПТП'!$A$2:$M$18</formula>
    <oldFormula>'Финансов план на ПТП'!$A$2:$M$18</oldFormula>
  </rdn>
  <rdn rId="0" localSheetId="3" customView="1" name="Z_32A281B9_28FB_4D0E_8C01_BFBADAC8C3C9_.wvu.PrintArea" hidden="1" oldHidden="1">
    <formula>'ОПНО_визия евро'!$A$1:$O$30</formula>
    <oldFormula>'ОПНО_визия евро'!$A$1:$O$30</oldFormula>
  </rdn>
  <rdn rId="0" localSheetId="4" customView="1" name="Z_32A281B9_28FB_4D0E_8C01_BFBADAC8C3C9_.wvu.PrintArea" hidden="1" oldHidden="1">
    <formula>'ПОКАЗАТЕЛИ ПТП '!$A$1:$F$68</formula>
    <oldFormula>'ПОКАЗАТЕЛИ ПТП '!$A$1:$F$68</oldFormula>
  </rdn>
  <rdn rId="0" localSheetId="4" customView="1" name="Z_32A281B9_28FB_4D0E_8C01_BFBADAC8C3C9_.wvu.FilterData" hidden="1" oldHidden="1">
    <formula>'ПОКАЗАТЕЛИ ПТП '!$A$1:$M$70</formula>
    <oldFormula>'ПОКАЗАТЕЛИ ПТП '!$A$1:$M$70</oldFormula>
  </rdn>
  <rdn rId="0" localSheetId="7" customView="1" name="Z_32A281B9_28FB_4D0E_8C01_BFBADAC8C3C9_.wvu.PrintArea" hidden="1" oldHidden="1">
    <formula>П3_Наука_Инфраструктура!$A$1:$L$16</formula>
    <oldFormula>П3_Наука_Инфраструктура!$A$1:$L$16</oldFormula>
  </rdn>
  <rdn rId="0" localSheetId="8" customView="1" name="Z_32A281B9_28FB_4D0E_8C01_BFBADAC8C3C9_.wvu.PrintArea" hidden="1" oldHidden="1">
    <formula>'П3_Наука Изследвания'!$A$1:$M$14</formula>
    <oldFormula>'П3_Наука Изследвания'!$A$1:$M$14</oldFormula>
  </rdn>
  <rdn rId="0" localSheetId="9" customView="1" name="Z_32A281B9_28FB_4D0E_8C01_BFBADAC8C3C9_.wvu.PrintArea" hidden="1" oldHidden="1">
    <formula>П3_Наука_Хоризонт!$A$1:$M$18</formula>
    <oldFormula>П3_Наука_Хоризонт!$A$1:$M$18</oldFormula>
  </rdn>
  <rdn rId="0" localSheetId="9" customView="1" name="Z_32A281B9_28FB_4D0E_8C01_BFBADAC8C3C9_.wvu.Cols" hidden="1" oldHidden="1">
    <formula>П3_Наука_Хоризонт!$N:$O</formula>
    <oldFormula>П3_Наука_Хоризонт!$N:$O</oldFormula>
  </rdn>
  <rcv guid="{32A281B9-28FB-4D0E-8C01-BFBADAC8C3C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7799D3C-38E2-410A-80FA-AECD8E6AB89B}" action="delete"/>
  <rdn rId="0" localSheetId="1" customView="1" name="Z_77799D3C_38E2_410A_80FA_AECD8E6AB89B_.wvu.PrintArea" hidden="1" oldHidden="1">
    <formula>'Финансови бюджетни '!$A$4:$L$16</formula>
    <oldFormula>'Финансови бюджетни '!$A$4:$L$16</oldFormula>
  </rdn>
  <rdn rId="0" localSheetId="2" customView="1" name="Z_77799D3C_38E2_410A_80FA_AECD8E6AB89B_.wvu.PrintArea" hidden="1" oldHidden="1">
    <formula>'Финансов план на ПТП'!$A$2:$M$18</formula>
    <oldFormula>'Финансов план на ПТП'!$A$2:$M$18</oldFormula>
  </rdn>
  <rdn rId="0" localSheetId="3" customView="1" name="Z_77799D3C_38E2_410A_80FA_AECD8E6AB89B_.wvu.PrintArea" hidden="1" oldHidden="1">
    <formula>'ОПНО_визия евро'!$A$1:$O$30</formula>
    <oldFormula>'ОПНО_визия евро'!$A$1:$O$30</oldFormula>
  </rdn>
  <rdn rId="0" localSheetId="4" customView="1" name="Z_77799D3C_38E2_410A_80FA_AECD8E6AB89B_.wvu.PrintArea" hidden="1" oldHidden="1">
    <formula>'ПОКАЗАТЕЛИ ПТП '!$A$1:$F$68</formula>
    <oldFormula>'ПОКАЗАТЕЛИ ПТП '!$A$1:$F$68</oldFormula>
  </rdn>
  <rdn rId="0" localSheetId="4" customView="1" name="Z_77799D3C_38E2_410A_80FA_AECD8E6AB89B_.wvu.FilterData" hidden="1" oldHidden="1">
    <formula>'ПОКАЗАТЕЛИ ПТП '!$A$1:$M$70</formula>
    <oldFormula>'ПОКАЗАТЕЛИ ПТП '!$A$1:$M$70</oldFormula>
  </rdn>
  <rdn rId="0" localSheetId="7" customView="1" name="Z_77799D3C_38E2_410A_80FA_AECD8E6AB89B_.wvu.PrintArea" hidden="1" oldHidden="1">
    <formula>П3_Наука_Инфраструктура!$A$1:$L$16</formula>
    <oldFormula>П3_Наука_Инфраструктура!$A$1:$L$16</oldFormula>
  </rdn>
  <rdn rId="0" localSheetId="8" customView="1" name="Z_77799D3C_38E2_410A_80FA_AECD8E6AB89B_.wvu.PrintArea" hidden="1" oldHidden="1">
    <formula>'П3_Наука Изследвания'!$A$1:$M$14</formula>
    <oldFormula>'П3_Наука Изследвания'!$A$1:$M$14</oldFormula>
  </rdn>
  <rdn rId="0" localSheetId="9" customView="1" name="Z_77799D3C_38E2_410A_80FA_AECD8E6AB89B_.wvu.PrintArea" hidden="1" oldHidden="1">
    <formula>П3_Наука_Хоризонт!$A$1:$M$18</formula>
    <oldFormula>П3_Наука_Хоризонт!$A$1:$M$18</oldFormula>
  </rdn>
  <rdn rId="0" localSheetId="9" customView="1" name="Z_77799D3C_38E2_410A_80FA_AECD8E6AB89B_.wvu.Cols" hidden="1" oldHidden="1">
    <formula>П3_Наука_Хоризонт!$N:$O</formula>
    <oldFormula>П3_Наука_Хоризонт!$N:$O</oldFormula>
  </rdn>
  <rcv guid="{77799D3C-38E2-410A-80FA-AECD8E6AB89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A15:XFD15" start="0" length="2147483647">
    <dxf>
      <font>
        <color rgb="FFFF0000"/>
      </font>
    </dxf>
  </rfmt>
  <rcc rId="786" sId="4">
    <oc r="A15" t="inlineStr">
      <is>
        <t xml:space="preserve">(О1-5) Дял на процедурите за избор на изпълнител по реда на ЗОП, при които са спазени препоръките на АОП </t>
      </is>
    </oc>
    <nc r="A15" t="inlineStr">
      <is>
        <t>(О1-5) Дял на процедурите, преминали предварителен контрол от АОП, по които има наложена финансова корекция за нарушения в подготвителната фаза</t>
      </is>
    </nc>
  </rcc>
  <rcc rId="787" sId="4">
    <oc r="C15">
      <f>'Подробно разпределение '!P7</f>
    </oc>
    <nc r="C15"/>
  </rcc>
  <rcc rId="788" sId="4">
    <oc r="D15">
      <f>'Подробно разпределение '!AD7</f>
    </oc>
    <nc r="D15"/>
  </rcc>
  <rcc rId="789" sId="4">
    <oc r="E15" t="inlineStr">
      <is>
        <t xml:space="preserve">АОП извършва предварителен контрол на процедури за обществени поръчки, финансирани от фондовете на РОР на два етапа. При първия етап се дават препоръки за отстраняване на пропуски преди обявяване на процедурата. На вторият етап се проследява тяхното изпълнение от страна на възложителите по ЗОП.
Индикаторът измерва при какъв процент от процедурите за ОП са отстранени пропуски преди обявяването им в следствие на контрола, извършван от АОП.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0" sId="4">
    <o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t>
      </is>
    </oc>
    <nc r="E15" t="inlineStr">
      <is>
        <t xml:space="preserve">Чрез индикатора се измерва подобрението в качеството на обществените поръчки по проекти, финансирани от фондовете на РОР в резултат на предварителен контрол, извършен от АОП. 
Проверките на АОП покриват т.н. подготвителна фаза </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4">
  <userInfo guid="{9DDBE84D-7A17-459A-8018-4971726A3F16}" name="Полина Личева" id="-1086868971" dateTime="2022-09-12T13:44:48"/>
  <userInfo guid="{9B7D5EC6-F087-40C0-A786-C8BAEAD2331C}" name="Полина Личева" id="-1086911734" dateTime="2022-09-13T15:43:15"/>
  <userInfo guid="{B6F68F73-D2C4-46C7-97C6-300D5F23C04B}" name="Емилия Герджикова" id="-56460240" dateTime="2022-10-10T11:53:34"/>
  <userInfo guid="{B6F68F73-D2C4-46C7-97C6-300D5F23C04B}" name="Емилия Герджикова" id="-56428705" dateTime="2022-10-11T11:20:04"/>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1.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12" Type="http://schemas.openxmlformats.org/officeDocument/2006/relationships/printerSettings" Target="../printerSettings/printerSettings66.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11" Type="http://schemas.openxmlformats.org/officeDocument/2006/relationships/printerSettings" Target="../printerSettings/printerSettings65.bin"/><Relationship Id="rId5" Type="http://schemas.openxmlformats.org/officeDocument/2006/relationships/printerSettings" Target="../printerSettings/printerSettings59.bin"/><Relationship Id="rId10" Type="http://schemas.openxmlformats.org/officeDocument/2006/relationships/printerSettings" Target="../printerSettings/printerSettings64.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0" Type="http://schemas.openxmlformats.org/officeDocument/2006/relationships/printerSettings" Target="../printerSettings/printerSettings76.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0" Type="http://schemas.openxmlformats.org/officeDocument/2006/relationships/printerSettings" Target="../printerSettings/printerSettings90.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2.bin"/><Relationship Id="rId13" Type="http://schemas.openxmlformats.org/officeDocument/2006/relationships/printerSettings" Target="../printerSettings/printerSettings107.bin"/><Relationship Id="rId3" Type="http://schemas.openxmlformats.org/officeDocument/2006/relationships/printerSettings" Target="../printerSettings/printerSettings97.bin"/><Relationship Id="rId7" Type="http://schemas.openxmlformats.org/officeDocument/2006/relationships/printerSettings" Target="../printerSettings/printerSettings101.bin"/><Relationship Id="rId12" Type="http://schemas.openxmlformats.org/officeDocument/2006/relationships/printerSettings" Target="../printerSettings/printerSettings106.bin"/><Relationship Id="rId2" Type="http://schemas.openxmlformats.org/officeDocument/2006/relationships/printerSettings" Target="../printerSettings/printerSettings96.bin"/><Relationship Id="rId1" Type="http://schemas.openxmlformats.org/officeDocument/2006/relationships/printerSettings" Target="../printerSettings/printerSettings95.bin"/><Relationship Id="rId6" Type="http://schemas.openxmlformats.org/officeDocument/2006/relationships/printerSettings" Target="../printerSettings/printerSettings100.bin"/><Relationship Id="rId11" Type="http://schemas.openxmlformats.org/officeDocument/2006/relationships/printerSettings" Target="../printerSettings/printerSettings105.bin"/><Relationship Id="rId5" Type="http://schemas.openxmlformats.org/officeDocument/2006/relationships/printerSettings" Target="../printerSettings/printerSettings99.bin"/><Relationship Id="rId10" Type="http://schemas.openxmlformats.org/officeDocument/2006/relationships/printerSettings" Target="../printerSettings/printerSettings104.bin"/><Relationship Id="rId4" Type="http://schemas.openxmlformats.org/officeDocument/2006/relationships/printerSettings" Target="../printerSettings/printerSettings98.bin"/><Relationship Id="rId9" Type="http://schemas.openxmlformats.org/officeDocument/2006/relationships/printerSettings" Target="../printerSettings/printerSettings103.bin"/><Relationship Id="rId14" Type="http://schemas.openxmlformats.org/officeDocument/2006/relationships/printerSettings" Target="../printerSettings/printerSettings10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115" zoomScaleNormal="85" workbookViewId="0">
      <selection activeCell="G8" sqref="G8"/>
    </sheetView>
  </sheetViews>
  <sheetFormatPr defaultColWidth="8.85546875" defaultRowHeight="15" x14ac:dyDescent="0.25"/>
  <cols>
    <col min="1" max="1" width="12" style="127" customWidth="1"/>
    <col min="2" max="2" width="23.7109375" style="127" customWidth="1"/>
    <col min="3" max="3" width="6.42578125" style="127" customWidth="1"/>
    <col min="4" max="8" width="15.5703125" style="127" bestFit="1" customWidth="1"/>
    <col min="9" max="9" width="14.85546875" style="127" customWidth="1"/>
    <col min="10" max="10" width="15.5703125" style="127" bestFit="1" customWidth="1"/>
    <col min="11" max="11" width="15.140625" style="127" customWidth="1"/>
    <col min="12" max="12" width="17" style="127" bestFit="1" customWidth="1"/>
    <col min="13" max="13" width="18.28515625" style="127" bestFit="1" customWidth="1"/>
    <col min="14" max="14" width="14.85546875" style="127" bestFit="1" customWidth="1"/>
    <col min="15" max="15" width="16.42578125" style="127" customWidth="1"/>
    <col min="16" max="16" width="8" style="127" bestFit="1" customWidth="1"/>
    <col min="17" max="17" width="10" style="127" bestFit="1" customWidth="1"/>
    <col min="18" max="18" width="9.28515625" style="127" bestFit="1" customWidth="1"/>
    <col min="19" max="19" width="10" style="127" bestFit="1" customWidth="1"/>
    <col min="20" max="20" width="9.28515625" style="127" bestFit="1" customWidth="1"/>
    <col min="21" max="16384" width="8.85546875" style="127"/>
  </cols>
  <sheetData>
    <row r="1" spans="1:15" ht="18.75" x14ac:dyDescent="0.3">
      <c r="F1" s="339" t="s">
        <v>409</v>
      </c>
    </row>
    <row r="2" spans="1:15" ht="15.75" thickBot="1" x14ac:dyDescent="0.3">
      <c r="A2" s="127" t="s">
        <v>0</v>
      </c>
      <c r="K2" s="195"/>
      <c r="L2" s="196" t="s">
        <v>1</v>
      </c>
      <c r="M2" s="195"/>
    </row>
    <row r="3" spans="1:15" ht="17.25" thickBot="1" x14ac:dyDescent="0.3">
      <c r="A3" s="385" t="s">
        <v>2</v>
      </c>
      <c r="B3" s="386"/>
      <c r="C3" s="386"/>
      <c r="D3" s="386"/>
      <c r="E3" s="386"/>
      <c r="F3" s="386"/>
      <c r="G3" s="386"/>
      <c r="H3" s="386"/>
      <c r="I3" s="386"/>
      <c r="J3" s="386"/>
      <c r="K3" s="386"/>
      <c r="L3" s="387"/>
    </row>
    <row r="4" spans="1:15" ht="16.5" thickBot="1" x14ac:dyDescent="0.3">
      <c r="A4" s="178" t="s">
        <v>3</v>
      </c>
      <c r="B4" s="179" t="s">
        <v>4</v>
      </c>
      <c r="C4" s="180">
        <v>2021</v>
      </c>
      <c r="D4" s="181">
        <v>2022</v>
      </c>
      <c r="E4" s="181">
        <v>2023</v>
      </c>
      <c r="F4" s="182">
        <v>2024</v>
      </c>
      <c r="G4" s="182">
        <v>2025</v>
      </c>
      <c r="H4" s="183">
        <v>2026</v>
      </c>
      <c r="I4" s="182"/>
      <c r="J4" s="184">
        <v>2027</v>
      </c>
      <c r="K4" s="184"/>
      <c r="L4" s="182" t="s">
        <v>5</v>
      </c>
      <c r="M4" s="215"/>
      <c r="O4" s="128"/>
    </row>
    <row r="5" spans="1:15" ht="42.75" thickBot="1" x14ac:dyDescent="0.3">
      <c r="A5" s="185"/>
      <c r="B5" s="173"/>
      <c r="C5" s="174"/>
      <c r="D5" s="175"/>
      <c r="E5" s="175"/>
      <c r="F5" s="176"/>
      <c r="G5" s="176"/>
      <c r="H5" s="214" t="s">
        <v>6</v>
      </c>
      <c r="I5" s="214" t="s">
        <v>7</v>
      </c>
      <c r="J5" s="214" t="s">
        <v>8</v>
      </c>
      <c r="K5" s="214" t="s">
        <v>9</v>
      </c>
      <c r="L5" s="176"/>
      <c r="M5" s="215"/>
      <c r="O5" s="128"/>
    </row>
    <row r="6" spans="1:15" ht="30.75" thickBot="1" x14ac:dyDescent="0.3">
      <c r="A6" s="186" t="s">
        <v>10</v>
      </c>
      <c r="B6" s="177" t="s">
        <v>13</v>
      </c>
      <c r="C6" s="146"/>
      <c r="D6" s="140"/>
      <c r="E6" s="140"/>
      <c r="F6" s="140"/>
      <c r="G6" s="140"/>
      <c r="H6" s="140"/>
      <c r="I6" s="140"/>
      <c r="J6" s="140"/>
      <c r="K6" s="140"/>
      <c r="L6" s="212">
        <f>SUM(C6:J6)</f>
        <v>0</v>
      </c>
      <c r="M6" s="216"/>
      <c r="N6" s="249" t="s">
        <v>319</v>
      </c>
      <c r="O6" s="128"/>
    </row>
    <row r="7" spans="1:15" ht="15.75" thickBot="1" x14ac:dyDescent="0.3">
      <c r="A7" s="187"/>
      <c r="B7" s="177" t="s">
        <v>14</v>
      </c>
      <c r="C7" s="146"/>
      <c r="D7" s="140">
        <v>2268477</v>
      </c>
      <c r="E7" s="140">
        <v>2340588</v>
      </c>
      <c r="F7" s="140">
        <v>2421490</v>
      </c>
      <c r="G7" s="140">
        <v>2501966</v>
      </c>
      <c r="H7" s="140">
        <v>1071729</v>
      </c>
      <c r="I7" s="247">
        <v>1071729</v>
      </c>
      <c r="J7" s="140">
        <v>1112517</v>
      </c>
      <c r="K7" s="247">
        <v>1112517</v>
      </c>
      <c r="L7" s="212">
        <f>SUM(C7:K7)</f>
        <v>13901013</v>
      </c>
      <c r="M7" s="128">
        <f>+L7-I7-K7</f>
        <v>11716767</v>
      </c>
      <c r="N7" s="250">
        <f>+I7+K7</f>
        <v>2184246</v>
      </c>
      <c r="O7" s="128">
        <f>+L7-N7</f>
        <v>11716767</v>
      </c>
    </row>
    <row r="8" spans="1:15" ht="15.75" thickBot="1" x14ac:dyDescent="0.3">
      <c r="A8" s="187"/>
      <c r="B8" s="177" t="s">
        <v>11</v>
      </c>
      <c r="C8" s="146" t="s">
        <v>12</v>
      </c>
      <c r="D8" s="140">
        <v>12643748</v>
      </c>
      <c r="E8" s="140">
        <v>14854805</v>
      </c>
      <c r="F8" s="140">
        <v>15360084</v>
      </c>
      <c r="G8" s="140">
        <v>15862144</v>
      </c>
      <c r="H8" s="140">
        <v>6787559</v>
      </c>
      <c r="I8" s="247">
        <v>6787559</v>
      </c>
      <c r="J8" s="140">
        <v>7041294</v>
      </c>
      <c r="K8" s="247">
        <v>7041294</v>
      </c>
      <c r="L8" s="212">
        <f>SUM(C8:K8)</f>
        <v>86378487</v>
      </c>
      <c r="M8" s="128">
        <f>+L8-I8-K8</f>
        <v>72549634</v>
      </c>
      <c r="N8" s="250">
        <f>+I8+K8</f>
        <v>13828853</v>
      </c>
      <c r="O8" s="128">
        <f>+L8-N8</f>
        <v>72549634</v>
      </c>
    </row>
    <row r="9" spans="1:15" ht="39" thickBot="1" x14ac:dyDescent="0.3">
      <c r="A9" s="188"/>
      <c r="B9" s="177" t="s">
        <v>15</v>
      </c>
      <c r="C9" s="146"/>
      <c r="D9" s="140"/>
      <c r="E9" s="140"/>
      <c r="F9" s="140"/>
      <c r="G9" s="140"/>
      <c r="H9" s="140"/>
      <c r="I9" s="140"/>
      <c r="J9" s="140"/>
      <c r="K9" s="140"/>
      <c r="L9" s="212">
        <f t="shared" ref="L9:L17" si="0">SUM(C9:J9)</f>
        <v>0</v>
      </c>
      <c r="M9" s="215"/>
      <c r="N9" s="128"/>
      <c r="O9" s="128"/>
    </row>
    <row r="10" spans="1:15" ht="16.5" thickBot="1" x14ac:dyDescent="0.3">
      <c r="A10" s="190" t="s">
        <v>16</v>
      </c>
      <c r="B10" s="191"/>
      <c r="C10" s="197" t="s">
        <v>17</v>
      </c>
      <c r="D10" s="198"/>
      <c r="E10" s="198"/>
      <c r="F10" s="198"/>
      <c r="G10" s="198"/>
      <c r="H10" s="198"/>
      <c r="I10" s="198"/>
      <c r="J10" s="198"/>
      <c r="K10" s="205"/>
      <c r="L10" s="204">
        <f t="shared" si="0"/>
        <v>0</v>
      </c>
      <c r="M10" s="217"/>
      <c r="N10" s="202"/>
    </row>
    <row r="11" spans="1:15" ht="21" customHeight="1" thickBot="1" x14ac:dyDescent="0.3">
      <c r="A11" s="189" t="s">
        <v>18</v>
      </c>
      <c r="B11" s="177" t="s">
        <v>19</v>
      </c>
      <c r="C11" s="146" t="s">
        <v>20</v>
      </c>
      <c r="D11" s="140"/>
      <c r="E11" s="140"/>
      <c r="F11" s="140"/>
      <c r="G11" s="140"/>
      <c r="H11" s="140"/>
      <c r="I11" s="140"/>
      <c r="J11" s="140"/>
      <c r="K11" s="203"/>
      <c r="L11" s="204">
        <f t="shared" si="0"/>
        <v>0</v>
      </c>
      <c r="M11" s="217"/>
    </row>
    <row r="12" spans="1:15" ht="16.5" thickBot="1" x14ac:dyDescent="0.3">
      <c r="A12" s="187"/>
      <c r="B12" s="177" t="s">
        <v>21</v>
      </c>
      <c r="C12" s="146"/>
      <c r="D12" s="140"/>
      <c r="E12" s="140"/>
      <c r="F12" s="140"/>
      <c r="G12" s="140"/>
      <c r="H12" s="140"/>
      <c r="I12" s="140"/>
      <c r="J12" s="140"/>
      <c r="K12" s="203"/>
      <c r="L12" s="204">
        <f t="shared" si="0"/>
        <v>0</v>
      </c>
      <c r="M12" s="218"/>
    </row>
    <row r="13" spans="1:15" ht="16.5" thickBot="1" x14ac:dyDescent="0.3">
      <c r="A13" s="187"/>
      <c r="B13" s="177" t="s">
        <v>22</v>
      </c>
      <c r="C13" s="146"/>
      <c r="D13" s="140"/>
      <c r="E13" s="140"/>
      <c r="F13" s="140"/>
      <c r="G13" s="140"/>
      <c r="H13" s="140"/>
      <c r="I13" s="140"/>
      <c r="J13" s="140"/>
      <c r="K13" s="203"/>
      <c r="L13" s="204">
        <f t="shared" si="0"/>
        <v>0</v>
      </c>
      <c r="M13" s="218"/>
    </row>
    <row r="14" spans="1:15" ht="39" thickBot="1" x14ac:dyDescent="0.3">
      <c r="A14" s="188"/>
      <c r="B14" s="177" t="s">
        <v>23</v>
      </c>
      <c r="C14" s="146"/>
      <c r="D14" s="140"/>
      <c r="E14" s="140"/>
      <c r="F14" s="140"/>
      <c r="G14" s="140"/>
      <c r="H14" s="140"/>
      <c r="I14" s="140"/>
      <c r="J14" s="140"/>
      <c r="K14" s="203"/>
      <c r="L14" s="204">
        <f t="shared" si="0"/>
        <v>0</v>
      </c>
      <c r="M14" s="217"/>
    </row>
    <row r="15" spans="1:15" ht="14.45" customHeight="1" thickBot="1" x14ac:dyDescent="0.3">
      <c r="A15" s="190" t="s">
        <v>24</v>
      </c>
      <c r="B15" s="194"/>
      <c r="C15" s="199"/>
      <c r="D15" s="207"/>
      <c r="E15" s="207"/>
      <c r="F15" s="207"/>
      <c r="G15" s="207"/>
      <c r="H15" s="207"/>
      <c r="I15" s="207"/>
      <c r="J15" s="207"/>
      <c r="K15" s="206"/>
      <c r="L15" s="204">
        <f t="shared" si="0"/>
        <v>0</v>
      </c>
      <c r="M15" s="217"/>
    </row>
    <row r="16" spans="1:15" ht="26.25" thickBot="1" x14ac:dyDescent="0.3">
      <c r="A16" s="189" t="s">
        <v>25</v>
      </c>
      <c r="B16" s="177" t="s">
        <v>26</v>
      </c>
      <c r="C16" s="146"/>
      <c r="D16" s="140"/>
      <c r="E16" s="140"/>
      <c r="F16" s="140"/>
      <c r="G16" s="140"/>
      <c r="H16" s="140"/>
      <c r="I16" s="140"/>
      <c r="J16" s="140"/>
      <c r="K16" s="203"/>
      <c r="L16" s="204">
        <f t="shared" si="0"/>
        <v>0</v>
      </c>
      <c r="M16" s="217"/>
    </row>
    <row r="17" spans="1:13" ht="13.9" customHeight="1" thickBot="1" x14ac:dyDescent="0.3">
      <c r="A17" s="189" t="s">
        <v>27</v>
      </c>
      <c r="B17" s="177" t="s">
        <v>28</v>
      </c>
      <c r="C17" s="146"/>
      <c r="D17" s="140"/>
      <c r="E17" s="140"/>
      <c r="F17" s="140"/>
      <c r="G17" s="140"/>
      <c r="H17" s="140"/>
      <c r="I17" s="140"/>
      <c r="J17" s="140"/>
      <c r="K17" s="203"/>
      <c r="L17" s="204">
        <f t="shared" si="0"/>
        <v>0</v>
      </c>
      <c r="M17" s="219"/>
    </row>
    <row r="18" spans="1:13" ht="16.5" thickBot="1" x14ac:dyDescent="0.3">
      <c r="A18" s="192" t="s">
        <v>29</v>
      </c>
      <c r="B18" s="193"/>
      <c r="C18" s="200" t="s">
        <v>30</v>
      </c>
      <c r="D18" s="201">
        <f t="shared" ref="D18:K18" si="1">SUM(D6:D17)</f>
        <v>14912225</v>
      </c>
      <c r="E18" s="201">
        <f t="shared" si="1"/>
        <v>17195393</v>
      </c>
      <c r="F18" s="201">
        <f t="shared" si="1"/>
        <v>17781574</v>
      </c>
      <c r="G18" s="201">
        <f t="shared" si="1"/>
        <v>18364110</v>
      </c>
      <c r="H18" s="201">
        <f t="shared" si="1"/>
        <v>7859288</v>
      </c>
      <c r="I18" s="248">
        <f t="shared" si="1"/>
        <v>7859288</v>
      </c>
      <c r="J18" s="201">
        <f t="shared" si="1"/>
        <v>8153811</v>
      </c>
      <c r="K18" s="201">
        <f t="shared" si="1"/>
        <v>8153811</v>
      </c>
      <c r="L18" s="225">
        <f>SUM(C18:K18)</f>
        <v>100279500</v>
      </c>
      <c r="M18" s="220"/>
    </row>
    <row r="20" spans="1:13" x14ac:dyDescent="0.25">
      <c r="E20" s="202"/>
      <c r="F20" s="202"/>
      <c r="G20" s="202"/>
      <c r="H20" s="202"/>
      <c r="I20" s="202"/>
      <c r="J20" s="202"/>
      <c r="K20" s="202"/>
    </row>
    <row r="21" spans="1:13" ht="113.25" customHeight="1" x14ac:dyDescent="0.25">
      <c r="I21" s="388" t="s">
        <v>317</v>
      </c>
      <c r="J21" s="388"/>
      <c r="K21" s="388"/>
    </row>
    <row r="23" spans="1:13" ht="19.5" x14ac:dyDescent="0.3">
      <c r="D23" s="211"/>
      <c r="E23" s="211"/>
      <c r="F23" s="211"/>
      <c r="G23" s="211"/>
      <c r="H23" s="211"/>
      <c r="I23" s="211"/>
      <c r="J23" s="211"/>
    </row>
    <row r="27" spans="1:13" x14ac:dyDescent="0.25">
      <c r="D27" s="338"/>
      <c r="E27" s="338"/>
      <c r="F27" s="338"/>
      <c r="G27" s="338"/>
      <c r="H27" s="338"/>
      <c r="I27" s="338"/>
      <c r="J27" s="338"/>
      <c r="K27" s="338"/>
    </row>
    <row r="28" spans="1:13" x14ac:dyDescent="0.25">
      <c r="D28" s="338"/>
      <c r="E28" s="338"/>
      <c r="F28" s="338"/>
      <c r="G28" s="338"/>
      <c r="H28" s="338"/>
      <c r="I28" s="338"/>
      <c r="J28" s="338"/>
      <c r="K28" s="338"/>
      <c r="L28" s="338"/>
    </row>
  </sheetData>
  <customSheetViews>
    <customSheetView guid="{32A281B9-28FB-4D0E-8C01-BFBADAC8C3C9}" scale="115" showPageBreaks="1" printArea="1">
      <selection activeCell="G8" sqref="G8"/>
      <pageMargins left="0.7" right="0.7" top="0.75" bottom="0.75" header="0.3" footer="0.3"/>
      <pageSetup paperSize="9" orientation="portrait" horizontalDpi="300" verticalDpi="300" r:id="rId1"/>
    </customSheetView>
    <customSheetView guid="{77799D3C-38E2-410A-80FA-AECD8E6AB89B}" scale="115" showPageBreaks="1" printArea="1">
      <selection activeCell="F29" sqref="F29"/>
      <pageMargins left="0.7" right="0.7" top="0.75" bottom="0.75" header="0.3" footer="0.3"/>
      <pageSetup paperSize="9" orientation="portrait" horizontalDpi="300" verticalDpi="300" r:id="rId2"/>
    </customSheetView>
    <customSheetView guid="{6B77031E-918C-40F9-A42D-E4EA46622624}" scale="115">
      <selection activeCell="F29" sqref="F29"/>
      <pageMargins left="0.7" right="0.7" top="0.75" bottom="0.75" header="0.3" footer="0.3"/>
      <pageSetup paperSize="9" orientation="portrait" horizontalDpi="300" verticalDpi="300" r:id="rId3"/>
    </customSheetView>
    <customSheetView guid="{DE419AE1-55C7-41E8-9A94-E4062EF30970}" scale="115" showPageBreaks="1" printArea="1">
      <selection activeCell="F29" sqref="F29"/>
      <pageMargins left="0.7" right="0.7" top="0.75" bottom="0.75" header="0.3" footer="0.3"/>
      <pageSetup paperSize="9" orientation="portrait" horizontalDpi="300" verticalDpi="300" r:id="rId4"/>
    </customSheetView>
    <customSheetView guid="{56BC42A3-D967-4F27-BD5A-CB0B8CB7F657}" scale="115" showPageBreaks="1" printArea="1">
      <selection activeCell="F29" sqref="F29"/>
      <pageMargins left="0.7" right="0.7" top="0.75" bottom="0.75" header="0.3" footer="0.3"/>
      <pageSetup paperSize="9" orientation="portrait" horizontalDpi="300" verticalDpi="300" r:id="rId5"/>
    </customSheetView>
    <customSheetView guid="{D1BD168D-40B4-46AB-88B7-64C22520CFA0}" scale="115" showPageBreaks="1" printArea="1">
      <selection activeCell="A2" sqref="A2"/>
      <pageMargins left="0.7" right="0.7" top="0.75" bottom="0.75" header="0.3" footer="0.3"/>
      <pageSetup paperSize="9" orientation="portrait" horizontalDpi="300" verticalDpi="300" r:id="rId6"/>
    </customSheetView>
    <customSheetView guid="{2A6315F5-C9A2-43A7-B337-00FD30A3EB26}" scale="115" showPageBreaks="1" printArea="1">
      <selection activeCell="F29" sqref="F29"/>
      <pageMargins left="0.7" right="0.7" top="0.75" bottom="0.75" header="0.3" footer="0.3"/>
      <pageSetup paperSize="9" orientation="portrait" horizontalDpi="300" verticalDpi="300" r:id="rId7"/>
    </customSheetView>
    <customSheetView guid="{E07B67F4-8A17-4050-B9B8-81977BCB02E2}" scale="115" showPageBreaks="1" printArea="1">
      <selection activeCell="A21" sqref="A21"/>
      <pageMargins left="0.7" right="0.7" top="0.75" bottom="0.75" header="0.3" footer="0.3"/>
      <pageSetup paperSize="9" orientation="portrait" horizontalDpi="300" verticalDpi="300" r:id="rId8"/>
    </customSheetView>
    <customSheetView guid="{9CD5F6CE-0E1C-42DA-A598-93523B740CBC}" scale="115" showPageBreaks="1" printArea="1">
      <selection activeCell="F29" sqref="F29"/>
      <pageMargins left="0.7" right="0.7" top="0.75" bottom="0.75" header="0.3" footer="0.3"/>
      <pageSetup paperSize="9" orientation="portrait" horizontalDpi="300" verticalDpi="300" r:id="rId9"/>
    </customSheetView>
    <customSheetView guid="{72B67681-E295-44ED-80A6-F4B618B242B1}" scale="115">
      <selection activeCell="F29" sqref="F29"/>
    </customSheetView>
    <customSheetView guid="{DD0EA6D3-BC8C-40D3-B12F-B88059C8E3DC}" scale="85">
      <selection activeCell="D7" sqref="D7:K8"/>
      <pageMargins left="0.7" right="0.7" top="0.75" bottom="0.75" header="0.3" footer="0.3"/>
      <pageSetup paperSize="9" orientation="portrait" horizontalDpi="300" verticalDpi="300" r:id="rId10"/>
    </customSheetView>
    <customSheetView guid="{B426F9F8-EB1A-4D7B-9478-7E22D414CC12}" scale="85" showPageBreaks="1" printArea="1">
      <selection activeCell="D7" sqref="D7:K8"/>
      <pageMargins left="0.7" right="0.7" top="0.75" bottom="0.75" header="0.3" footer="0.3"/>
      <pageSetup paperSize="9" orientation="portrait" horizontalDpi="300" verticalDpi="300" r:id="rId11"/>
    </customSheetView>
    <customSheetView guid="{13EBDE9D-EC74-4522-9EED-363E735B4A78}" scale="90" showPageBreaks="1" showGridLines="0" printArea="1">
      <selection activeCell="J7" sqref="J7"/>
      <pageMargins left="0.7" right="0.7" top="0.75" bottom="0.75" header="0.3" footer="0.3"/>
      <pageSetup paperSize="9" orientation="portrait" horizontalDpi="300" verticalDpi="300" r:id="rId12"/>
    </customSheetView>
    <customSheetView guid="{AD504361-49F3-4986-BDBF-FB73E2299976}" showPageBreaks="1" printArea="1" topLeftCell="C1">
      <selection activeCell="M6" sqref="M6:M8"/>
      <pageMargins left="0.7" right="0.7" top="0.75" bottom="0.75" header="0.3" footer="0.3"/>
      <pageSetup paperSize="9" orientation="portrait" horizontalDpi="300" verticalDpi="300" r:id="rId13"/>
    </customSheetView>
  </customSheetViews>
  <mergeCells count="2">
    <mergeCell ref="A3:L3"/>
    <mergeCell ref="I21:K21"/>
  </mergeCells>
  <pageMargins left="0.7" right="0.7" top="0.75" bottom="0.75" header="0.3" footer="0.3"/>
  <pageSetup paperSize="9" orientation="portrait" horizontalDpi="300"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4"/>
  <sheetViews>
    <sheetView topLeftCell="E1" zoomScaleNormal="80" workbookViewId="0">
      <selection activeCell="K11" sqref="K11"/>
    </sheetView>
  </sheetViews>
  <sheetFormatPr defaultColWidth="12.85546875" defaultRowHeight="15" x14ac:dyDescent="0.25"/>
  <cols>
    <col min="1" max="1" width="12.85546875" style="132" customWidth="1"/>
    <col min="2" max="2" width="27.28515625" style="132" customWidth="1"/>
    <col min="3" max="4" width="12.85546875" style="132"/>
    <col min="5" max="5" width="17.140625" style="132" customWidth="1"/>
    <col min="6" max="6" width="16.28515625" style="132" bestFit="1" customWidth="1"/>
    <col min="7" max="8" width="16.28515625" style="132" customWidth="1"/>
    <col min="9" max="10" width="14.28515625" style="132" bestFit="1" customWidth="1"/>
    <col min="11" max="11" width="12.85546875" style="132"/>
    <col min="12" max="12" width="17.140625" style="132" bestFit="1" customWidth="1"/>
    <col min="13" max="13" width="16.5703125" style="132" bestFit="1" customWidth="1"/>
    <col min="14" max="14" width="15.42578125" style="149" bestFit="1" customWidth="1"/>
    <col min="15" max="15" width="17.140625" style="311" customWidth="1"/>
    <col min="16" max="17" width="12.85546875" style="311"/>
    <col min="18" max="18" width="13" style="311" bestFit="1" customWidth="1"/>
    <col min="19" max="19" width="16.5703125" style="311" bestFit="1" customWidth="1"/>
    <col min="20" max="20" width="14.28515625" style="311" bestFit="1" customWidth="1"/>
    <col min="21" max="21" width="18.85546875" style="132" customWidth="1"/>
    <col min="22" max="16384" width="12.85546875" style="132"/>
  </cols>
  <sheetData>
    <row r="1" spans="1:24" ht="15.75" customHeight="1" thickBot="1" x14ac:dyDescent="0.3">
      <c r="N1" s="135"/>
    </row>
    <row r="2" spans="1:24" ht="31.5" customHeight="1" thickBot="1" x14ac:dyDescent="0.3">
      <c r="A2" s="389" t="s">
        <v>31</v>
      </c>
      <c r="B2" s="390"/>
      <c r="C2" s="390"/>
      <c r="D2" s="390"/>
      <c r="E2" s="390"/>
      <c r="F2" s="390"/>
      <c r="G2" s="390"/>
      <c r="H2" s="390"/>
      <c r="I2" s="390"/>
      <c r="J2" s="390"/>
      <c r="K2" s="390"/>
      <c r="L2" s="390"/>
      <c r="M2" s="391"/>
      <c r="N2" s="135"/>
      <c r="O2" s="322"/>
      <c r="P2" s="322"/>
      <c r="Q2" s="322"/>
      <c r="R2" s="322"/>
      <c r="S2" s="322"/>
      <c r="T2" s="322"/>
    </row>
    <row r="3" spans="1:24" ht="60.75" customHeight="1" thickBot="1" x14ac:dyDescent="0.3">
      <c r="A3" s="402" t="s">
        <v>32</v>
      </c>
      <c r="B3" s="392" t="s">
        <v>33</v>
      </c>
      <c r="C3" s="392" t="s">
        <v>34</v>
      </c>
      <c r="D3" s="392" t="s">
        <v>35</v>
      </c>
      <c r="E3" s="392" t="s">
        <v>36</v>
      </c>
      <c r="F3" s="392" t="s">
        <v>37</v>
      </c>
      <c r="G3" s="396" t="s">
        <v>315</v>
      </c>
      <c r="H3" s="397"/>
      <c r="I3" s="392" t="s">
        <v>38</v>
      </c>
      <c r="J3" s="396" t="s">
        <v>39</v>
      </c>
      <c r="K3" s="397"/>
      <c r="L3" s="394" t="s">
        <v>40</v>
      </c>
      <c r="M3" s="392" t="s">
        <v>41</v>
      </c>
      <c r="N3" s="135"/>
      <c r="O3" s="323"/>
      <c r="P3" s="323"/>
      <c r="Q3" s="323"/>
      <c r="R3" s="323"/>
      <c r="S3" s="323"/>
      <c r="T3" s="324"/>
    </row>
    <row r="4" spans="1:24" ht="54" customHeight="1" x14ac:dyDescent="0.25">
      <c r="A4" s="403"/>
      <c r="B4" s="393"/>
      <c r="C4" s="393"/>
      <c r="D4" s="393"/>
      <c r="E4" s="393"/>
      <c r="F4" s="393"/>
      <c r="G4" s="244" t="s">
        <v>314</v>
      </c>
      <c r="H4" s="244" t="s">
        <v>316</v>
      </c>
      <c r="I4" s="393"/>
      <c r="J4" s="136" t="s">
        <v>42</v>
      </c>
      <c r="K4" s="136" t="s">
        <v>43</v>
      </c>
      <c r="L4" s="395"/>
      <c r="M4" s="393"/>
      <c r="N4" s="135"/>
      <c r="O4" s="325"/>
      <c r="P4" s="325"/>
      <c r="Q4" s="325"/>
      <c r="R4" s="325"/>
      <c r="S4" s="325"/>
      <c r="T4" s="227"/>
    </row>
    <row r="5" spans="1:24" ht="15.75" thickBot="1" x14ac:dyDescent="0.3">
      <c r="A5" s="404"/>
      <c r="B5" s="137"/>
      <c r="C5" s="138"/>
      <c r="D5" s="137"/>
      <c r="E5" s="137"/>
      <c r="F5" s="137" t="s">
        <v>44</v>
      </c>
      <c r="G5" s="137"/>
      <c r="H5" s="137"/>
      <c r="I5" s="137" t="s">
        <v>45</v>
      </c>
      <c r="J5" s="137" t="s">
        <v>46</v>
      </c>
      <c r="K5" s="137" t="s">
        <v>47</v>
      </c>
      <c r="L5" s="137" t="s">
        <v>48</v>
      </c>
      <c r="M5" s="137" t="s">
        <v>49</v>
      </c>
      <c r="N5" s="135"/>
      <c r="O5" s="326"/>
      <c r="P5" s="326"/>
      <c r="Q5" s="326"/>
      <c r="R5" s="327"/>
      <c r="S5" s="154"/>
      <c r="T5" s="227"/>
      <c r="U5" s="224"/>
    </row>
    <row r="6" spans="1:24" ht="15.75" thickBot="1" x14ac:dyDescent="0.3">
      <c r="A6" s="139"/>
      <c r="B6" s="137"/>
      <c r="C6" s="138"/>
      <c r="D6" s="137"/>
      <c r="E6" s="137"/>
      <c r="F6" s="137"/>
      <c r="G6" s="137"/>
      <c r="H6" s="137"/>
      <c r="I6" s="137"/>
      <c r="J6" s="137"/>
      <c r="K6" s="137"/>
      <c r="L6" s="137"/>
      <c r="M6" s="137"/>
      <c r="N6" s="135"/>
      <c r="O6" s="326"/>
      <c r="P6" s="326"/>
      <c r="Q6" s="326"/>
      <c r="R6" s="327"/>
      <c r="S6" s="154"/>
      <c r="T6" s="227"/>
    </row>
    <row r="7" spans="1:24" ht="47.25" customHeight="1" thickBot="1" x14ac:dyDescent="0.3">
      <c r="A7" s="221" t="s">
        <v>50</v>
      </c>
      <c r="B7" s="221" t="s">
        <v>51</v>
      </c>
      <c r="C7" s="209" t="s">
        <v>52</v>
      </c>
      <c r="D7" s="137" t="s">
        <v>53</v>
      </c>
      <c r="E7" s="213" t="s">
        <v>54</v>
      </c>
      <c r="F7" s="222">
        <v>13901013</v>
      </c>
      <c r="G7" s="257">
        <v>11716767</v>
      </c>
      <c r="H7" s="247">
        <v>2184246</v>
      </c>
      <c r="I7" s="140">
        <f>+J7+K7</f>
        <v>5957577</v>
      </c>
      <c r="J7" s="140">
        <v>5957577</v>
      </c>
      <c r="K7" s="245"/>
      <c r="L7" s="140">
        <f>+F7+I7</f>
        <v>19858590</v>
      </c>
      <c r="M7" s="350">
        <f>+F7/L7</f>
        <v>0.7</v>
      </c>
      <c r="N7" s="135"/>
      <c r="O7" s="326"/>
      <c r="P7" s="326"/>
      <c r="Q7" s="326"/>
      <c r="R7" s="327"/>
      <c r="S7" s="154"/>
      <c r="T7" s="227"/>
      <c r="U7" s="143"/>
    </row>
    <row r="8" spans="1:24" ht="56.25" customHeight="1" thickBot="1" x14ac:dyDescent="0.3">
      <c r="A8" s="221" t="s">
        <v>55</v>
      </c>
      <c r="B8" s="221" t="s">
        <v>56</v>
      </c>
      <c r="C8" s="209" t="s">
        <v>57</v>
      </c>
      <c r="D8" s="137" t="s">
        <v>58</v>
      </c>
      <c r="E8" s="213" t="s">
        <v>59</v>
      </c>
      <c r="F8" s="222">
        <v>86378487</v>
      </c>
      <c r="G8" s="257">
        <v>72549634</v>
      </c>
      <c r="H8" s="247">
        <v>13828853</v>
      </c>
      <c r="I8" s="140">
        <f>+J8+K8</f>
        <v>15243263</v>
      </c>
      <c r="J8" s="140">
        <v>15243263</v>
      </c>
      <c r="K8" s="245"/>
      <c r="L8" s="140">
        <f>+F8+I8</f>
        <v>101621750</v>
      </c>
      <c r="M8" s="350">
        <f>+F8/L8</f>
        <v>0.8499999950797934</v>
      </c>
      <c r="N8" s="135"/>
      <c r="O8" s="326"/>
      <c r="P8" s="326"/>
      <c r="Q8" s="326"/>
      <c r="R8" s="327"/>
      <c r="S8" s="154"/>
      <c r="T8" s="226"/>
      <c r="U8" s="223"/>
    </row>
    <row r="9" spans="1:24" ht="32.25" customHeight="1" thickBot="1" x14ac:dyDescent="0.3">
      <c r="A9" s="405" t="s">
        <v>60</v>
      </c>
      <c r="B9" s="406"/>
      <c r="C9" s="144"/>
      <c r="D9" s="145"/>
      <c r="E9" s="213" t="s">
        <v>61</v>
      </c>
      <c r="F9" s="146"/>
      <c r="G9" s="258"/>
      <c r="H9" s="146"/>
      <c r="I9" s="147">
        <f t="shared" ref="I9:I16" si="0">+J9+K9</f>
        <v>0</v>
      </c>
      <c r="J9" s="146"/>
      <c r="K9" s="246"/>
      <c r="L9" s="140">
        <f t="shared" ref="L9:L16" si="1">+F9+I9</f>
        <v>0</v>
      </c>
      <c r="M9" s="350">
        <v>0</v>
      </c>
      <c r="N9" s="135"/>
      <c r="O9" s="326"/>
      <c r="P9" s="326"/>
      <c r="Q9" s="326"/>
      <c r="R9" s="327"/>
      <c r="S9" s="154"/>
      <c r="T9" s="228"/>
      <c r="U9" s="143"/>
      <c r="V9" s="143"/>
      <c r="W9" s="143"/>
      <c r="X9" s="143"/>
    </row>
    <row r="10" spans="1:24" ht="32.25" customHeight="1" thickBot="1" x14ac:dyDescent="0.3">
      <c r="A10" s="407"/>
      <c r="B10" s="408"/>
      <c r="C10" s="144"/>
      <c r="D10" s="145"/>
      <c r="E10" s="213" t="s">
        <v>62</v>
      </c>
      <c r="F10" s="140">
        <f t="shared" ref="F10:H11" si="2">+F7</f>
        <v>13901013</v>
      </c>
      <c r="G10" s="257">
        <f t="shared" si="2"/>
        <v>11716767</v>
      </c>
      <c r="H10" s="247">
        <f t="shared" si="2"/>
        <v>2184246</v>
      </c>
      <c r="I10" s="140">
        <f>+J10+K10</f>
        <v>5957577</v>
      </c>
      <c r="J10" s="140">
        <f>+J7</f>
        <v>5957577</v>
      </c>
      <c r="K10" s="246"/>
      <c r="L10" s="140">
        <f t="shared" si="1"/>
        <v>19858590</v>
      </c>
      <c r="M10" s="350">
        <f t="shared" ref="M10:M11" si="3">+F10/L10</f>
        <v>0.7</v>
      </c>
      <c r="N10" s="135"/>
      <c r="O10" s="326"/>
      <c r="P10" s="326"/>
      <c r="Q10" s="326"/>
      <c r="R10" s="327"/>
      <c r="S10" s="154"/>
      <c r="T10" s="229"/>
      <c r="U10" s="129"/>
      <c r="V10" s="135"/>
      <c r="W10" s="143"/>
      <c r="X10" s="143"/>
    </row>
    <row r="11" spans="1:24" ht="32.25" customHeight="1" thickBot="1" x14ac:dyDescent="0.3">
      <c r="A11" s="407"/>
      <c r="B11" s="408"/>
      <c r="C11" s="144"/>
      <c r="D11" s="145"/>
      <c r="E11" s="213" t="s">
        <v>63</v>
      </c>
      <c r="F11" s="140">
        <f t="shared" si="2"/>
        <v>86378487</v>
      </c>
      <c r="G11" s="257">
        <f t="shared" si="2"/>
        <v>72549634</v>
      </c>
      <c r="H11" s="247">
        <f t="shared" si="2"/>
        <v>13828853</v>
      </c>
      <c r="I11" s="140">
        <f>+J11+K11</f>
        <v>15243263</v>
      </c>
      <c r="J11" s="140">
        <f>+J8</f>
        <v>15243263</v>
      </c>
      <c r="K11" s="245"/>
      <c r="L11" s="140">
        <f t="shared" si="1"/>
        <v>101621750</v>
      </c>
      <c r="M11" s="351">
        <f t="shared" si="3"/>
        <v>0.8499999950797934</v>
      </c>
      <c r="N11" s="135"/>
      <c r="O11" s="326"/>
      <c r="P11" s="326"/>
      <c r="Q11" s="326"/>
      <c r="R11" s="327"/>
      <c r="S11" s="154"/>
      <c r="T11" s="230"/>
      <c r="U11" s="129"/>
      <c r="V11" s="135"/>
      <c r="W11" s="143"/>
      <c r="X11" s="143"/>
    </row>
    <row r="12" spans="1:24" ht="15.75" thickBot="1" x14ac:dyDescent="0.3">
      <c r="A12" s="409"/>
      <c r="B12" s="410"/>
      <c r="C12" s="144"/>
      <c r="D12" s="145"/>
      <c r="E12" s="213" t="s">
        <v>64</v>
      </c>
      <c r="F12" s="146"/>
      <c r="G12" s="146"/>
      <c r="H12" s="146"/>
      <c r="I12" s="147">
        <f t="shared" si="0"/>
        <v>0</v>
      </c>
      <c r="J12" s="146"/>
      <c r="K12" s="246"/>
      <c r="L12" s="140">
        <f t="shared" si="1"/>
        <v>0</v>
      </c>
      <c r="M12" s="148"/>
      <c r="N12" s="135"/>
      <c r="O12" s="326"/>
      <c r="P12" s="326"/>
      <c r="Q12" s="326"/>
      <c r="R12" s="327"/>
      <c r="S12" s="154"/>
      <c r="T12" s="226"/>
      <c r="U12" s="129"/>
      <c r="V12" s="135"/>
      <c r="W12" s="143"/>
      <c r="X12" s="143"/>
    </row>
    <row r="13" spans="1:24" ht="32.25" customHeight="1" thickBot="1" x14ac:dyDescent="0.3">
      <c r="A13" s="411" t="s">
        <v>65</v>
      </c>
      <c r="B13" s="412"/>
      <c r="C13" s="144"/>
      <c r="D13" s="145"/>
      <c r="E13" s="210" t="s">
        <v>66</v>
      </c>
      <c r="F13" s="140"/>
      <c r="G13" s="140"/>
      <c r="H13" s="140"/>
      <c r="I13" s="140">
        <f t="shared" si="0"/>
        <v>0</v>
      </c>
      <c r="J13" s="140"/>
      <c r="K13" s="137"/>
      <c r="L13" s="140">
        <f t="shared" si="1"/>
        <v>0</v>
      </c>
      <c r="M13" s="148"/>
      <c r="N13" s="135"/>
      <c r="S13" s="328"/>
      <c r="T13" s="312"/>
      <c r="U13" s="129"/>
      <c r="V13" s="135"/>
      <c r="W13" s="143"/>
      <c r="X13" s="143"/>
    </row>
    <row r="14" spans="1:24" ht="32.25" customHeight="1" thickBot="1" x14ac:dyDescent="0.3">
      <c r="A14" s="407"/>
      <c r="B14" s="408"/>
      <c r="C14" s="144"/>
      <c r="D14" s="145"/>
      <c r="E14" s="210" t="s">
        <v>67</v>
      </c>
      <c r="F14" s="140"/>
      <c r="G14" s="140"/>
      <c r="H14" s="140"/>
      <c r="I14" s="140">
        <f t="shared" si="0"/>
        <v>0</v>
      </c>
      <c r="J14" s="140"/>
      <c r="K14" s="137"/>
      <c r="L14" s="140">
        <f>+F14+I14</f>
        <v>0</v>
      </c>
      <c r="M14" s="148"/>
      <c r="N14" s="135"/>
      <c r="Q14" s="313"/>
      <c r="S14" s="328"/>
      <c r="T14" s="312"/>
      <c r="U14" s="135"/>
      <c r="V14" s="231"/>
      <c r="W14" s="143"/>
      <c r="X14" s="143"/>
    </row>
    <row r="15" spans="1:24" ht="32.25" customHeight="1" thickBot="1" x14ac:dyDescent="0.3">
      <c r="A15" s="407"/>
      <c r="B15" s="408"/>
      <c r="C15" s="144"/>
      <c r="D15" s="145"/>
      <c r="E15" s="210" t="s">
        <v>68</v>
      </c>
      <c r="F15" s="140"/>
      <c r="G15" s="140"/>
      <c r="H15" s="140"/>
      <c r="I15" s="140">
        <f t="shared" si="0"/>
        <v>0</v>
      </c>
      <c r="J15" s="140"/>
      <c r="K15" s="141"/>
      <c r="L15" s="140">
        <f>+F15+I15</f>
        <v>0</v>
      </c>
      <c r="M15" s="148"/>
      <c r="N15" s="135"/>
      <c r="O15" s="314"/>
      <c r="P15" s="143"/>
      <c r="Q15" s="313"/>
      <c r="R15" s="143"/>
      <c r="S15" s="328"/>
      <c r="T15" s="315"/>
    </row>
    <row r="16" spans="1:24" ht="68.25" thickBot="1" x14ac:dyDescent="0.3">
      <c r="A16" s="409"/>
      <c r="B16" s="410"/>
      <c r="C16" s="144"/>
      <c r="D16" s="145"/>
      <c r="E16" s="210" t="s">
        <v>69</v>
      </c>
      <c r="F16" s="137"/>
      <c r="G16" s="137"/>
      <c r="H16" s="137"/>
      <c r="I16" s="147">
        <f t="shared" si="0"/>
        <v>0</v>
      </c>
      <c r="J16" s="146"/>
      <c r="K16" s="137"/>
      <c r="L16" s="147">
        <f t="shared" si="1"/>
        <v>0</v>
      </c>
      <c r="M16" s="148"/>
      <c r="N16" s="135"/>
      <c r="O16" s="314"/>
      <c r="P16" s="316"/>
      <c r="Q16" s="316"/>
      <c r="R16" s="317"/>
      <c r="S16" s="135"/>
      <c r="T16" s="143"/>
    </row>
    <row r="17" spans="1:20" ht="15.75" thickBot="1" x14ac:dyDescent="0.3">
      <c r="A17" s="400" t="s">
        <v>70</v>
      </c>
      <c r="B17" s="401"/>
      <c r="C17" s="144"/>
      <c r="D17" s="145" t="s">
        <v>71</v>
      </c>
      <c r="E17" s="208"/>
      <c r="F17" s="137"/>
      <c r="G17" s="137"/>
      <c r="H17" s="137"/>
      <c r="I17" s="146"/>
      <c r="J17" s="146"/>
      <c r="K17" s="137"/>
      <c r="L17" s="146"/>
      <c r="M17" s="142"/>
      <c r="O17" s="314"/>
      <c r="P17" s="316"/>
      <c r="Q17" s="316"/>
      <c r="R17" s="317"/>
      <c r="S17" s="135"/>
      <c r="T17" s="143"/>
    </row>
    <row r="18" spans="1:20" ht="15.75" thickBot="1" x14ac:dyDescent="0.3">
      <c r="A18" s="398" t="s">
        <v>72</v>
      </c>
      <c r="B18" s="399"/>
      <c r="C18" s="144"/>
      <c r="D18" s="150"/>
      <c r="E18" s="208"/>
      <c r="F18" s="151">
        <f>+F10+F11</f>
        <v>100279500</v>
      </c>
      <c r="G18" s="151">
        <f t="shared" ref="G18" si="4">+G10+G11</f>
        <v>84266401</v>
      </c>
      <c r="H18" s="151">
        <f>+H10+H11</f>
        <v>16013099</v>
      </c>
      <c r="I18" s="151">
        <f t="shared" ref="I18:L18" si="5">+I10+I11</f>
        <v>21200840</v>
      </c>
      <c r="J18" s="151">
        <f t="shared" si="5"/>
        <v>21200840</v>
      </c>
      <c r="K18" s="151"/>
      <c r="L18" s="151">
        <f t="shared" si="5"/>
        <v>121480340</v>
      </c>
      <c r="M18" s="152">
        <f>+F18/L18</f>
        <v>0.8254792503873466</v>
      </c>
      <c r="N18" s="289">
        <f>+L18*1.95583</f>
        <v>237594893.3822</v>
      </c>
      <c r="O18" s="314"/>
      <c r="P18" s="316"/>
      <c r="Q18" s="316"/>
      <c r="R18" s="317"/>
      <c r="S18" s="143"/>
      <c r="T18" s="143"/>
    </row>
    <row r="19" spans="1:20" x14ac:dyDescent="0.25">
      <c r="P19" s="316"/>
      <c r="Q19" s="316"/>
      <c r="R19" s="317"/>
      <c r="S19" s="143"/>
      <c r="T19" s="143"/>
    </row>
    <row r="20" spans="1:20" ht="107.25" customHeight="1" x14ac:dyDescent="0.25">
      <c r="G20" s="388" t="s">
        <v>317</v>
      </c>
      <c r="H20" s="388"/>
      <c r="I20" s="388"/>
      <c r="P20" s="314"/>
      <c r="Q20" s="314"/>
      <c r="R20" s="318"/>
      <c r="S20" s="143"/>
      <c r="T20" s="143"/>
    </row>
    <row r="21" spans="1:20" x14ac:dyDescent="0.25">
      <c r="E21" s="153"/>
      <c r="F21" s="153"/>
      <c r="G21" s="153"/>
      <c r="H21" s="153"/>
      <c r="I21" s="153"/>
      <c r="J21" s="153"/>
      <c r="K21" s="153"/>
      <c r="L21" s="154"/>
      <c r="M21" s="143"/>
      <c r="P21" s="143"/>
      <c r="Q21" s="143"/>
      <c r="R21" s="143"/>
      <c r="S21" s="143"/>
      <c r="T21" s="143"/>
    </row>
    <row r="22" spans="1:20" x14ac:dyDescent="0.25">
      <c r="E22" s="153"/>
      <c r="F22" s="153"/>
      <c r="G22" s="153"/>
      <c r="H22" s="153"/>
      <c r="I22" s="153"/>
      <c r="J22" s="153"/>
      <c r="K22" s="153"/>
      <c r="L22" s="155"/>
      <c r="M22" s="143"/>
      <c r="P22" s="143"/>
      <c r="Q22" s="143"/>
      <c r="R22" s="143"/>
      <c r="S22" s="143"/>
      <c r="T22" s="143"/>
    </row>
    <row r="23" spans="1:20" x14ac:dyDescent="0.25">
      <c r="E23" s="156"/>
      <c r="F23" s="156"/>
      <c r="G23" s="156"/>
      <c r="H23" s="156"/>
      <c r="I23" s="156"/>
      <c r="J23" s="156"/>
      <c r="K23" s="156"/>
      <c r="L23" s="157"/>
      <c r="M23" s="143"/>
      <c r="P23" s="143"/>
      <c r="Q23" s="143"/>
      <c r="R23" s="143"/>
      <c r="S23" s="143"/>
      <c r="T23" s="143"/>
    </row>
    <row r="24" spans="1:20" ht="15.75" customHeight="1" x14ac:dyDescent="0.25">
      <c r="E24" s="238"/>
      <c r="F24" s="238"/>
      <c r="G24" s="238"/>
      <c r="H24" s="321"/>
      <c r="I24" s="239"/>
      <c r="J24" s="239"/>
      <c r="K24" s="241"/>
      <c r="L24" s="243"/>
      <c r="M24" s="241"/>
      <c r="N24" s="239"/>
      <c r="P24" s="143"/>
      <c r="Q24" s="143"/>
      <c r="R24" s="143"/>
      <c r="S24" s="143"/>
      <c r="T24" s="143"/>
    </row>
    <row r="25" spans="1:20" ht="15.75" x14ac:dyDescent="0.25">
      <c r="E25" s="238"/>
      <c r="F25" s="238"/>
      <c r="G25" s="238"/>
      <c r="H25" s="135"/>
      <c r="I25" s="149"/>
      <c r="J25" s="149"/>
      <c r="K25" s="160"/>
      <c r="L25" s="159"/>
      <c r="M25" s="160"/>
      <c r="N25" s="239"/>
      <c r="P25" s="143"/>
      <c r="Q25" s="143"/>
      <c r="R25" s="143"/>
      <c r="S25" s="143"/>
      <c r="T25" s="143"/>
    </row>
    <row r="26" spans="1:20" ht="15.75" x14ac:dyDescent="0.25">
      <c r="E26" s="240"/>
      <c r="F26" s="238"/>
      <c r="G26" s="238"/>
      <c r="H26" s="135"/>
      <c r="I26" s="149"/>
      <c r="J26" s="149"/>
      <c r="K26" s="143"/>
      <c r="L26" s="143"/>
      <c r="M26" s="143"/>
      <c r="N26" s="239"/>
      <c r="P26" s="143"/>
      <c r="Q26" s="143"/>
      <c r="R26" s="143"/>
      <c r="S26" s="143"/>
      <c r="T26" s="143"/>
    </row>
    <row r="27" spans="1:20" ht="15.75" x14ac:dyDescent="0.25">
      <c r="E27" s="241"/>
      <c r="F27" s="238"/>
      <c r="G27" s="238"/>
      <c r="H27" s="135"/>
      <c r="I27" s="149"/>
      <c r="J27" s="149"/>
      <c r="K27" s="143"/>
      <c r="L27" s="143"/>
      <c r="M27" s="143"/>
      <c r="N27" s="239"/>
      <c r="P27" s="143"/>
      <c r="Q27" s="143"/>
      <c r="R27" s="143"/>
      <c r="S27" s="143"/>
      <c r="T27" s="143"/>
    </row>
    <row r="28" spans="1:20" ht="15.75" x14ac:dyDescent="0.25">
      <c r="E28" s="241"/>
      <c r="F28" s="143"/>
      <c r="G28" s="143"/>
      <c r="H28" s="143"/>
      <c r="I28" s="143"/>
      <c r="J28" s="143"/>
      <c r="K28" s="143"/>
      <c r="L28" s="143"/>
      <c r="M28" s="143"/>
      <c r="N28" s="239"/>
      <c r="P28" s="314"/>
      <c r="Q28" s="314"/>
    </row>
    <row r="29" spans="1:20" ht="15.75" x14ac:dyDescent="0.25">
      <c r="L29" s="242"/>
      <c r="M29" s="238"/>
      <c r="N29" s="239"/>
    </row>
    <row r="30" spans="1:20" x14ac:dyDescent="0.25">
      <c r="L30" s="161"/>
      <c r="M30" s="143"/>
    </row>
    <row r="31" spans="1:20" x14ac:dyDescent="0.25">
      <c r="L31" s="143"/>
      <c r="M31" s="143"/>
    </row>
    <row r="32" spans="1:20" x14ac:dyDescent="0.25">
      <c r="L32" s="143"/>
    </row>
    <row r="33" spans="6:12" x14ac:dyDescent="0.25">
      <c r="L33" s="143"/>
    </row>
    <row r="34" spans="6:12" x14ac:dyDescent="0.25">
      <c r="F34" s="143"/>
      <c r="G34" s="143"/>
      <c r="H34" s="143"/>
      <c r="I34" s="162"/>
      <c r="J34" s="158"/>
      <c r="K34" s="158"/>
      <c r="L34" s="143"/>
    </row>
    <row r="35" spans="6:12" x14ac:dyDescent="0.25">
      <c r="F35" s="143"/>
      <c r="G35" s="143"/>
      <c r="H35" s="143"/>
      <c r="I35" s="160"/>
      <c r="J35" s="163"/>
      <c r="K35" s="163"/>
      <c r="L35" s="143"/>
    </row>
    <row r="36" spans="6:12" x14ac:dyDescent="0.25">
      <c r="F36" s="143"/>
      <c r="G36" s="143"/>
      <c r="H36" s="143"/>
      <c r="I36" s="160"/>
      <c r="J36" s="163"/>
      <c r="K36" s="163"/>
      <c r="L36" s="143"/>
    </row>
    <row r="37" spans="6:12" x14ac:dyDescent="0.25">
      <c r="F37" s="143"/>
      <c r="G37" s="143"/>
      <c r="H37" s="143"/>
      <c r="I37" s="160"/>
      <c r="J37" s="163"/>
      <c r="K37" s="160"/>
      <c r="L37" s="143"/>
    </row>
    <row r="38" spans="6:12" x14ac:dyDescent="0.25">
      <c r="F38" s="143"/>
      <c r="G38" s="143"/>
      <c r="H38" s="143"/>
      <c r="I38" s="160"/>
      <c r="J38" s="164"/>
      <c r="K38" s="163"/>
      <c r="L38" s="143"/>
    </row>
    <row r="39" spans="6:12" x14ac:dyDescent="0.25">
      <c r="F39" s="143"/>
      <c r="G39" s="143"/>
      <c r="H39" s="143"/>
      <c r="I39" s="143"/>
      <c r="J39" s="143"/>
      <c r="K39" s="143"/>
      <c r="L39" s="143"/>
    </row>
    <row r="40" spans="6:12" x14ac:dyDescent="0.25">
      <c r="F40" s="143"/>
      <c r="G40" s="143"/>
      <c r="H40" s="143"/>
      <c r="I40" s="143"/>
      <c r="J40" s="156"/>
      <c r="K40" s="156"/>
      <c r="L40" s="143"/>
    </row>
    <row r="41" spans="6:12" x14ac:dyDescent="0.25">
      <c r="F41" s="143"/>
      <c r="G41" s="143"/>
      <c r="H41" s="143"/>
      <c r="I41" s="143"/>
      <c r="J41" s="143"/>
      <c r="K41" s="143"/>
      <c r="L41" s="143"/>
    </row>
    <row r="42" spans="6:12" x14ac:dyDescent="0.25">
      <c r="F42" s="143"/>
      <c r="G42" s="143"/>
      <c r="H42" s="143"/>
      <c r="I42" s="143"/>
      <c r="J42" s="143"/>
      <c r="K42" s="143"/>
      <c r="L42" s="143"/>
    </row>
    <row r="43" spans="6:12" x14ac:dyDescent="0.25">
      <c r="F43" s="143"/>
      <c r="G43" s="143"/>
      <c r="H43" s="143"/>
      <c r="I43" s="143"/>
      <c r="J43" s="143"/>
      <c r="K43" s="143"/>
      <c r="L43" s="143"/>
    </row>
    <row r="44" spans="6:12" x14ac:dyDescent="0.25">
      <c r="F44" s="143"/>
      <c r="G44" s="143"/>
      <c r="H44" s="143"/>
      <c r="I44" s="143"/>
      <c r="J44" s="143"/>
      <c r="K44" s="143"/>
      <c r="L44" s="143"/>
    </row>
  </sheetData>
  <customSheetViews>
    <customSheetView guid="{32A281B9-28FB-4D0E-8C01-BFBADAC8C3C9}" showPageBreaks="1" printArea="1" topLeftCell="E1">
      <selection activeCell="K11" sqref="K11"/>
      <pageMargins left="0.7" right="0.7" top="0.75" bottom="0.75" header="0.3" footer="0.3"/>
      <pageSetup paperSize="9" orientation="portrait" horizontalDpi="300" verticalDpi="300" r:id="rId1"/>
    </customSheetView>
    <customSheetView guid="{77799D3C-38E2-410A-80FA-AECD8E6AB89B}" showPageBreaks="1" printArea="1">
      <selection activeCell="K11" sqref="K11"/>
      <pageMargins left="0.7" right="0.7" top="0.75" bottom="0.75" header="0.3" footer="0.3"/>
      <pageSetup paperSize="9" orientation="portrait" horizontalDpi="300" verticalDpi="300" r:id="rId2"/>
    </customSheetView>
    <customSheetView guid="{6B77031E-918C-40F9-A42D-E4EA46622624}">
      <selection activeCell="K11" sqref="K11"/>
      <pageMargins left="0.7" right="0.7" top="0.75" bottom="0.75" header="0.3" footer="0.3"/>
      <pageSetup paperSize="9" orientation="portrait" horizontalDpi="300" verticalDpi="300" r:id="rId3"/>
    </customSheetView>
    <customSheetView guid="{DE419AE1-55C7-41E8-9A94-E4062EF30970}" showPageBreaks="1" printArea="1">
      <selection activeCell="K11" sqref="K11"/>
      <pageMargins left="0.7" right="0.7" top="0.75" bottom="0.75" header="0.3" footer="0.3"/>
      <pageSetup paperSize="9" orientation="portrait" horizontalDpi="300" verticalDpi="300" r:id="rId4"/>
    </customSheetView>
    <customSheetView guid="{56BC42A3-D967-4F27-BD5A-CB0B8CB7F657}" showPageBreaks="1" printArea="1">
      <selection activeCell="K11" sqref="K11"/>
      <pageMargins left="0.7" right="0.7" top="0.75" bottom="0.75" header="0.3" footer="0.3"/>
      <pageSetup paperSize="9" orientation="portrait" horizontalDpi="300" verticalDpi="300" r:id="rId5"/>
    </customSheetView>
    <customSheetView guid="{D1BD168D-40B4-46AB-88B7-64C22520CFA0}" scale="85" showPageBreaks="1" printArea="1">
      <selection activeCell="F19" sqref="F19"/>
      <pageMargins left="0.7" right="0.7" top="0.75" bottom="0.75" header="0.3" footer="0.3"/>
      <pageSetup paperSize="9" orientation="portrait" horizontalDpi="300" verticalDpi="300" r:id="rId6"/>
    </customSheetView>
    <customSheetView guid="{2A6315F5-C9A2-43A7-B337-00FD30A3EB26}" showPageBreaks="1" printArea="1">
      <selection activeCell="C24" sqref="C24"/>
      <pageMargins left="0.7" right="0.7" top="0.75" bottom="0.75" header="0.3" footer="0.3"/>
      <pageSetup paperSize="9" orientation="portrait" horizontalDpi="300" verticalDpi="300" r:id="rId7"/>
    </customSheetView>
    <customSheetView guid="{E07B67F4-8A17-4050-B9B8-81977BCB02E2}" showPageBreaks="1" printArea="1" topLeftCell="G10">
      <selection activeCell="G27" sqref="G27"/>
      <pageMargins left="0.7" right="0.7" top="0.75" bottom="0.75" header="0.3" footer="0.3"/>
      <pageSetup paperSize="9" orientation="portrait" horizontalDpi="300" verticalDpi="300" r:id="rId8"/>
    </customSheetView>
    <customSheetView guid="{9CD5F6CE-0E1C-42DA-A598-93523B740CBC}" showPageBreaks="1" printArea="1">
      <selection activeCell="D9" sqref="D9"/>
      <pageMargins left="0.7" right="0.7" top="0.75" bottom="0.75" header="0.3" footer="0.3"/>
      <pageSetup paperSize="9" orientation="portrait" horizontalDpi="300" verticalDpi="300" r:id="rId9"/>
    </customSheetView>
    <customSheetView guid="{72B67681-E295-44ED-80A6-F4B618B242B1}">
      <selection activeCell="C24" sqref="C24"/>
    </customSheetView>
    <customSheetView guid="{DD0EA6D3-BC8C-40D3-B12F-B88059C8E3DC}" topLeftCell="G1">
      <selection activeCell="N8" sqref="N8"/>
      <pageMargins left="0.7" right="0.7" top="0.75" bottom="0.75" header="0.3" footer="0.3"/>
      <pageSetup paperSize="9" orientation="portrait" horizontalDpi="300" verticalDpi="300" r:id="rId10"/>
    </customSheetView>
    <customSheetView guid="{B426F9F8-EB1A-4D7B-9478-7E22D414CC12}" showPageBreaks="1" printArea="1" topLeftCell="G1">
      <selection activeCell="N8" sqref="N8"/>
      <pageMargins left="0.7" right="0.7" top="0.75" bottom="0.75" header="0.3" footer="0.3"/>
      <pageSetup paperSize="9" orientation="portrait" horizontalDpi="300" verticalDpi="300" r:id="rId11"/>
    </customSheetView>
    <customSheetView guid="{13EBDE9D-EC74-4522-9EED-363E735B4A78}" showPageBreaks="1" printArea="1" topLeftCell="B1">
      <selection activeCell="J10" sqref="J10"/>
      <pageMargins left="0.7" right="0.7" top="0.75" bottom="0.75" header="0.3" footer="0.3"/>
      <pageSetup paperSize="9" orientation="portrait" horizontalDpi="300" verticalDpi="300" r:id="rId12"/>
    </customSheetView>
    <customSheetView guid="{AD504361-49F3-4986-BDBF-FB73E2299976}" showPageBreaks="1" printArea="1" topLeftCell="A4">
      <selection activeCell="M16" sqref="M16:Q16"/>
      <pageMargins left="0.7" right="0.7" top="0.75" bottom="0.75" header="0.3" footer="0.3"/>
      <pageSetup paperSize="9" orientation="portrait" horizontalDpi="300" verticalDpi="300" r:id="rId13"/>
    </customSheetView>
  </customSheetViews>
  <mergeCells count="17">
    <mergeCell ref="G20:I20"/>
    <mergeCell ref="A18:B18"/>
    <mergeCell ref="D3:D4"/>
    <mergeCell ref="E3:E4"/>
    <mergeCell ref="F3:F4"/>
    <mergeCell ref="I3:I4"/>
    <mergeCell ref="A17:B17"/>
    <mergeCell ref="A3:A5"/>
    <mergeCell ref="A9:B12"/>
    <mergeCell ref="A13:B16"/>
    <mergeCell ref="G3:H3"/>
    <mergeCell ref="A2:M2"/>
    <mergeCell ref="B3:B4"/>
    <mergeCell ref="C3:C4"/>
    <mergeCell ref="L3:L4"/>
    <mergeCell ref="M3:M4"/>
    <mergeCell ref="J3:K3"/>
  </mergeCells>
  <pageMargins left="0.7" right="0.7" top="0.75" bottom="0.75" header="0.3" footer="0.3"/>
  <pageSetup paperSize="9" orientation="portrait" horizontalDpi="300" verticalDpi="300"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view="pageBreakPreview" zoomScale="80" zoomScaleNormal="85" zoomScaleSheetLayoutView="80" workbookViewId="0">
      <selection activeCell="A24" sqref="A24"/>
    </sheetView>
  </sheetViews>
  <sheetFormatPr defaultColWidth="9.140625" defaultRowHeight="15.75" x14ac:dyDescent="0.25"/>
  <cols>
    <col min="1" max="1" width="125.28515625" style="43" bestFit="1" customWidth="1"/>
    <col min="2" max="4" width="26.5703125" style="43" customWidth="1"/>
    <col min="5" max="5" width="23.7109375" style="43" customWidth="1"/>
    <col min="6" max="7" width="18.140625" style="43" customWidth="1"/>
    <col min="8" max="8" width="42.140625" style="43" customWidth="1"/>
    <col min="9" max="9" width="16.7109375" style="43" bestFit="1" customWidth="1"/>
    <col min="10" max="10" width="9.140625" style="43"/>
    <col min="11" max="11" width="15" style="43" bestFit="1" customWidth="1"/>
    <col min="12" max="12" width="18.42578125" style="43" bestFit="1" customWidth="1"/>
    <col min="13" max="13" width="15" style="43" bestFit="1" customWidth="1"/>
    <col min="14" max="14" width="16.140625" style="43" bestFit="1" customWidth="1"/>
    <col min="15" max="15" width="13.7109375" style="43" bestFit="1" customWidth="1"/>
    <col min="16" max="16" width="21" style="43" customWidth="1"/>
    <col min="17" max="17" width="21.5703125" style="43" customWidth="1"/>
    <col min="18" max="18" width="22.140625" style="43" customWidth="1"/>
    <col min="19" max="19" width="14.85546875" style="43" customWidth="1"/>
    <col min="20" max="20" width="19.85546875" style="43" customWidth="1"/>
    <col min="21" max="16384" width="9.140625" style="43"/>
  </cols>
  <sheetData>
    <row r="1" spans="1:19" ht="16.5" thickBot="1" x14ac:dyDescent="0.3">
      <c r="A1" s="416" t="s">
        <v>103</v>
      </c>
      <c r="B1" s="417"/>
      <c r="C1" s="417"/>
      <c r="D1" s="417"/>
      <c r="E1" s="417"/>
      <c r="F1" s="417"/>
      <c r="G1" s="417"/>
      <c r="H1" s="418"/>
      <c r="K1" s="419" t="s">
        <v>104</v>
      </c>
      <c r="L1" s="420"/>
      <c r="M1" s="420"/>
      <c r="N1" s="420"/>
      <c r="O1" s="421"/>
    </row>
    <row r="2" spans="1:19" ht="78.75" x14ac:dyDescent="0.25">
      <c r="A2" s="44" t="s">
        <v>105</v>
      </c>
      <c r="B2" s="45" t="s">
        <v>106</v>
      </c>
      <c r="C2" s="45" t="s">
        <v>107</v>
      </c>
      <c r="D2" s="45" t="s">
        <v>108</v>
      </c>
      <c r="E2" s="45" t="s">
        <v>109</v>
      </c>
      <c r="F2" s="45" t="s">
        <v>110</v>
      </c>
      <c r="G2" s="45" t="s">
        <v>111</v>
      </c>
      <c r="H2" s="45" t="s">
        <v>112</v>
      </c>
      <c r="I2" s="46" t="s">
        <v>113</v>
      </c>
      <c r="J2" s="46" t="s">
        <v>114</v>
      </c>
      <c r="K2" s="47" t="s">
        <v>115</v>
      </c>
      <c r="L2" s="47" t="s">
        <v>116</v>
      </c>
      <c r="M2" s="47" t="s">
        <v>117</v>
      </c>
      <c r="N2" s="48" t="s">
        <v>118</v>
      </c>
      <c r="O2" s="47" t="s">
        <v>119</v>
      </c>
      <c r="P2" s="43">
        <v>1.95583</v>
      </c>
    </row>
    <row r="3" spans="1:19" ht="17.25" customHeight="1" x14ac:dyDescent="0.25">
      <c r="A3" s="422" t="s">
        <v>120</v>
      </c>
      <c r="B3" s="422"/>
      <c r="C3" s="422"/>
      <c r="D3" s="422"/>
      <c r="E3" s="422"/>
      <c r="F3" s="422"/>
      <c r="G3" s="422"/>
      <c r="H3" s="422"/>
      <c r="K3" s="49">
        <v>428871428.57142854</v>
      </c>
      <c r="L3" s="49">
        <f>K3*0.2</f>
        <v>85774285.714285716</v>
      </c>
      <c r="M3" s="49">
        <f>K3-L3</f>
        <v>343097142.85714281</v>
      </c>
      <c r="N3" s="49">
        <f>M3*0.7</f>
        <v>240167999.99999994</v>
      </c>
      <c r="O3" s="50">
        <f>0.3*M3</f>
        <v>102929142.85714284</v>
      </c>
    </row>
    <row r="4" spans="1:19" x14ac:dyDescent="0.25">
      <c r="A4" s="51" t="s">
        <v>121</v>
      </c>
      <c r="B4" s="52">
        <f>0.2*C4</f>
        <v>10507349.999999998</v>
      </c>
      <c r="C4" s="52">
        <f>70/100*D4</f>
        <v>52536749.999999985</v>
      </c>
      <c r="D4" s="52">
        <f>J4*N4</f>
        <v>75052499.999999985</v>
      </c>
      <c r="E4" s="52">
        <f>70/100*F4</f>
        <v>42029399.999999985</v>
      </c>
      <c r="F4" s="52">
        <f>J4*$N$3</f>
        <v>60041999.999999985</v>
      </c>
      <c r="G4" s="52">
        <f>F4*$P$2</f>
        <v>117431944.85999997</v>
      </c>
      <c r="H4" s="53" t="s">
        <v>122</v>
      </c>
      <c r="I4" s="54">
        <f>F4/$F$8</f>
        <v>0.13999999999999999</v>
      </c>
      <c r="J4" s="54">
        <v>0.25</v>
      </c>
      <c r="N4" s="43">
        <f>70/100*K3</f>
        <v>300209999.99999994</v>
      </c>
      <c r="O4" s="43">
        <f>30/100*K3</f>
        <v>128661428.57142855</v>
      </c>
      <c r="P4" s="55"/>
      <c r="Q4" s="56"/>
      <c r="R4" s="56"/>
      <c r="S4" s="56"/>
    </row>
    <row r="5" spans="1:19" ht="31.5" x14ac:dyDescent="0.25">
      <c r="A5" s="57" t="s">
        <v>123</v>
      </c>
      <c r="B5" s="52">
        <f>0.2*C5</f>
        <v>31522049.999999989</v>
      </c>
      <c r="C5" s="52">
        <f>70/100*D5</f>
        <v>157610249.99999994</v>
      </c>
      <c r="D5" s="52">
        <f>J5*N4</f>
        <v>225157499.99999994</v>
      </c>
      <c r="E5" s="52">
        <f>70/100*F5</f>
        <v>126088199.99999996</v>
      </c>
      <c r="F5" s="52">
        <f>J5*$N$3</f>
        <v>180125999.99999994</v>
      </c>
      <c r="G5" s="52">
        <f>F5*$P$2</f>
        <v>352295834.57999986</v>
      </c>
      <c r="H5" s="53" t="s">
        <v>124</v>
      </c>
      <c r="I5" s="54">
        <f>F5/$F$8</f>
        <v>0.41999999999999987</v>
      </c>
      <c r="J5" s="54">
        <v>0.75</v>
      </c>
      <c r="P5" s="56"/>
      <c r="Q5" s="56"/>
      <c r="R5" s="56"/>
      <c r="S5" s="56"/>
    </row>
    <row r="6" spans="1:19" ht="47.25" x14ac:dyDescent="0.25">
      <c r="A6" s="58" t="s">
        <v>125</v>
      </c>
      <c r="B6" s="52">
        <f>0.2*C6</f>
        <v>18012599.999999996</v>
      </c>
      <c r="C6" s="52">
        <f>70/100*D6</f>
        <v>90062999.999999985</v>
      </c>
      <c r="D6" s="52">
        <f>O4</f>
        <v>128661428.57142855</v>
      </c>
      <c r="E6" s="52">
        <f>70/100*F6</f>
        <v>72050399.999999985</v>
      </c>
      <c r="F6" s="52">
        <f>O3</f>
        <v>102929142.85714284</v>
      </c>
      <c r="G6" s="52">
        <f>F6*$P$2</f>
        <v>201311905.47428566</v>
      </c>
      <c r="H6" s="53" t="s">
        <v>126</v>
      </c>
      <c r="I6" s="54">
        <f>F6/$F$8</f>
        <v>0.23999999999999996</v>
      </c>
    </row>
    <row r="7" spans="1:19" ht="31.5" x14ac:dyDescent="0.25">
      <c r="A7" s="59" t="s">
        <v>127</v>
      </c>
      <c r="B7" s="86">
        <f>E7-B4-B5-B6</f>
        <v>0</v>
      </c>
      <c r="C7" s="59"/>
      <c r="D7" s="59">
        <f>D4/70*100*1.95583-120000000</f>
        <v>89699901.535714239</v>
      </c>
      <c r="E7" s="52">
        <f>70/100*F7</f>
        <v>60042000</v>
      </c>
      <c r="F7" s="60">
        <f>L3</f>
        <v>85774285.714285716</v>
      </c>
      <c r="G7" s="52">
        <f>F7*$P$2</f>
        <v>167759921.22857141</v>
      </c>
      <c r="H7" s="61" t="s">
        <v>128</v>
      </c>
      <c r="I7" s="54">
        <f>F7/$F$8</f>
        <v>0.2</v>
      </c>
    </row>
    <row r="8" spans="1:19" x14ac:dyDescent="0.25">
      <c r="A8" s="62" t="s">
        <v>129</v>
      </c>
      <c r="B8" s="62"/>
      <c r="C8" s="62"/>
      <c r="D8" s="62"/>
      <c r="E8" s="50">
        <f>SUM(E4:E7)</f>
        <v>300209999.99999994</v>
      </c>
      <c r="F8" s="63">
        <f>SUM(F4:F7)</f>
        <v>428871428.57142854</v>
      </c>
      <c r="G8" s="63">
        <f>SUM(G4:G7)</f>
        <v>838799606.14285684</v>
      </c>
      <c r="H8" s="64"/>
    </row>
    <row r="9" spans="1:19" ht="51.75" customHeight="1" thickBot="1" x14ac:dyDescent="0.3">
      <c r="A9" s="423" t="s">
        <v>130</v>
      </c>
      <c r="B9" s="424"/>
      <c r="C9" s="424"/>
      <c r="D9" s="424"/>
      <c r="E9" s="424"/>
      <c r="F9" s="424"/>
      <c r="G9" s="424"/>
      <c r="H9" s="425"/>
      <c r="I9" s="46" t="s">
        <v>131</v>
      </c>
      <c r="J9" s="46"/>
      <c r="K9" s="65" t="s">
        <v>132</v>
      </c>
      <c r="L9" s="65" t="s">
        <v>133</v>
      </c>
      <c r="M9" s="65" t="s">
        <v>134</v>
      </c>
      <c r="N9" s="66" t="s">
        <v>135</v>
      </c>
      <c r="O9" s="65"/>
    </row>
    <row r="10" spans="1:19" ht="31.5" x14ac:dyDescent="0.25">
      <c r="A10" s="67" t="s">
        <v>136</v>
      </c>
      <c r="B10" s="67"/>
      <c r="C10" s="67"/>
      <c r="D10" s="67"/>
      <c r="E10" s="67"/>
      <c r="F10" s="68">
        <f>I10*K10</f>
        <v>106490914.2857143</v>
      </c>
      <c r="G10" s="68">
        <f t="shared" ref="G10:G15" si="0">F10*$P$2</f>
        <v>208278124.88742858</v>
      </c>
      <c r="H10" s="53" t="s">
        <v>137</v>
      </c>
      <c r="I10" s="54">
        <v>0.17</v>
      </c>
      <c r="K10" s="49">
        <v>626417142.85714293</v>
      </c>
      <c r="L10" s="49">
        <f>F16</f>
        <v>93962571.428571433</v>
      </c>
      <c r="M10" s="69">
        <f>I10+I11+I12</f>
        <v>0.55000000000000004</v>
      </c>
      <c r="N10" s="69">
        <f>I16+I15+I14+I13</f>
        <v>0.45</v>
      </c>
      <c r="O10" s="50"/>
    </row>
    <row r="11" spans="1:19" ht="31.5" x14ac:dyDescent="0.25">
      <c r="A11" s="70" t="s">
        <v>138</v>
      </c>
      <c r="B11" s="70"/>
      <c r="C11" s="70"/>
      <c r="D11" s="70"/>
      <c r="E11" s="70"/>
      <c r="F11" s="71">
        <f>I11*K10</f>
        <v>175396800.00000003</v>
      </c>
      <c r="G11" s="68">
        <f t="shared" si="0"/>
        <v>343046323.34400004</v>
      </c>
      <c r="H11" s="53" t="s">
        <v>139</v>
      </c>
      <c r="I11" s="54">
        <v>0.28000000000000003</v>
      </c>
    </row>
    <row r="12" spans="1:19" x14ac:dyDescent="0.25">
      <c r="A12" s="70" t="s">
        <v>140</v>
      </c>
      <c r="B12" s="70"/>
      <c r="C12" s="70"/>
      <c r="D12" s="70"/>
      <c r="E12" s="70"/>
      <c r="F12" s="71">
        <f>I12*K10</f>
        <v>62641714.285714298</v>
      </c>
      <c r="G12" s="68">
        <f t="shared" si="0"/>
        <v>122516544.0514286</v>
      </c>
      <c r="H12" s="53" t="s">
        <v>141</v>
      </c>
      <c r="I12" s="54">
        <v>0.1</v>
      </c>
    </row>
    <row r="13" spans="1:19" ht="31.5" x14ac:dyDescent="0.25">
      <c r="A13" s="70" t="s">
        <v>142</v>
      </c>
      <c r="B13" s="70"/>
      <c r="C13" s="70"/>
      <c r="D13" s="70"/>
      <c r="E13" s="70"/>
      <c r="F13" s="71">
        <f>I13*K10</f>
        <v>31320857.142857149</v>
      </c>
      <c r="G13" s="68">
        <f t="shared" si="0"/>
        <v>61258272.025714301</v>
      </c>
      <c r="H13" s="53" t="s">
        <v>143</v>
      </c>
      <c r="I13" s="54">
        <v>0.05</v>
      </c>
    </row>
    <row r="14" spans="1:19" x14ac:dyDescent="0.25">
      <c r="A14" s="58" t="s">
        <v>144</v>
      </c>
      <c r="B14" s="58"/>
      <c r="C14" s="58"/>
      <c r="D14" s="58"/>
      <c r="E14" s="58"/>
      <c r="F14" s="71">
        <f>I14*K10</f>
        <v>62641714.285714298</v>
      </c>
      <c r="G14" s="68">
        <f t="shared" si="0"/>
        <v>122516544.0514286</v>
      </c>
      <c r="H14" s="53" t="s">
        <v>145</v>
      </c>
      <c r="I14" s="54">
        <v>0.1</v>
      </c>
    </row>
    <row r="15" spans="1:19" ht="31.5" x14ac:dyDescent="0.25">
      <c r="A15" s="70" t="s">
        <v>146</v>
      </c>
      <c r="B15" s="70"/>
      <c r="C15" s="70"/>
      <c r="D15" s="70"/>
      <c r="E15" s="70"/>
      <c r="F15" s="71">
        <f>I15*K10</f>
        <v>93962571.428571433</v>
      </c>
      <c r="G15" s="68">
        <f t="shared" si="0"/>
        <v>183774816.07714286</v>
      </c>
      <c r="H15" s="53" t="s">
        <v>147</v>
      </c>
      <c r="I15" s="54">
        <v>0.15</v>
      </c>
    </row>
    <row r="16" spans="1:19" ht="31.5" x14ac:dyDescent="0.25">
      <c r="A16" s="70" t="s">
        <v>148</v>
      </c>
      <c r="B16" s="70"/>
      <c r="C16" s="70"/>
      <c r="D16" s="70"/>
      <c r="E16" s="70"/>
      <c r="F16" s="71">
        <f>I16*K10</f>
        <v>93962571.428571433</v>
      </c>
      <c r="G16" s="68">
        <f>F16*$P$2</f>
        <v>183774816.07714286</v>
      </c>
      <c r="H16" s="53" t="s">
        <v>149</v>
      </c>
      <c r="I16" s="54">
        <v>0.15</v>
      </c>
    </row>
    <row r="17" spans="1:15" x14ac:dyDescent="0.25">
      <c r="A17" s="62" t="s">
        <v>150</v>
      </c>
      <c r="B17" s="62"/>
      <c r="C17" s="62"/>
      <c r="D17" s="62"/>
      <c r="E17" s="62"/>
      <c r="F17" s="63">
        <f>SUM(F10:F16)</f>
        <v>626417142.85714304</v>
      </c>
      <c r="G17" s="63">
        <f>F17*$P$2</f>
        <v>1225165440.514286</v>
      </c>
      <c r="H17" s="72"/>
    </row>
    <row r="18" spans="1:15" ht="47.25" x14ac:dyDescent="0.25">
      <c r="A18" s="413" t="s">
        <v>151</v>
      </c>
      <c r="B18" s="414"/>
      <c r="C18" s="414"/>
      <c r="D18" s="414"/>
      <c r="E18" s="414"/>
      <c r="F18" s="414"/>
      <c r="G18" s="414"/>
      <c r="H18" s="415"/>
      <c r="I18" s="46" t="s">
        <v>152</v>
      </c>
      <c r="J18" s="46"/>
      <c r="K18" s="65" t="s">
        <v>153</v>
      </c>
      <c r="L18" s="65" t="s">
        <v>154</v>
      </c>
      <c r="M18" s="65" t="s">
        <v>155</v>
      </c>
      <c r="N18" s="66" t="s">
        <v>156</v>
      </c>
      <c r="O18" s="65"/>
    </row>
    <row r="19" spans="1:15" ht="31.5" x14ac:dyDescent="0.25">
      <c r="A19" s="70" t="s">
        <v>157</v>
      </c>
      <c r="B19" s="70"/>
      <c r="C19" s="70"/>
      <c r="D19" s="70"/>
      <c r="E19" s="70"/>
      <c r="F19" s="71">
        <f>I19*K19</f>
        <v>146164000</v>
      </c>
      <c r="G19" s="71">
        <f t="shared" ref="G19:G30" si="1">F19*$P$2</f>
        <v>285871936.12</v>
      </c>
      <c r="H19" s="53" t="s">
        <v>158</v>
      </c>
      <c r="I19" s="54">
        <v>0.35</v>
      </c>
      <c r="K19" s="49">
        <v>417611428.5714286</v>
      </c>
      <c r="L19" s="49">
        <f>F25</f>
        <v>57820285.714285731</v>
      </c>
      <c r="M19" s="69">
        <f>I19+I20+I21+I22</f>
        <v>0.75</v>
      </c>
      <c r="N19" s="69">
        <f>I23+I24+I25</f>
        <v>0.25</v>
      </c>
      <c r="O19" s="50"/>
    </row>
    <row r="20" spans="1:15" ht="47.25" x14ac:dyDescent="0.25">
      <c r="A20" s="70" t="s">
        <v>159</v>
      </c>
      <c r="B20" s="70"/>
      <c r="C20" s="70"/>
      <c r="D20" s="70"/>
      <c r="E20" s="70"/>
      <c r="F20" s="71">
        <f>I20*K19</f>
        <v>83522285.714285731</v>
      </c>
      <c r="G20" s="71">
        <f t="shared" si="1"/>
        <v>163355392.06857145</v>
      </c>
      <c r="H20" s="53" t="s">
        <v>160</v>
      </c>
      <c r="I20" s="54">
        <v>0.2</v>
      </c>
    </row>
    <row r="21" spans="1:15" ht="47.25" x14ac:dyDescent="0.25">
      <c r="A21" s="70" t="s">
        <v>161</v>
      </c>
      <c r="B21" s="70"/>
      <c r="C21" s="70"/>
      <c r="D21" s="70"/>
      <c r="E21" s="70"/>
      <c r="F21" s="71">
        <f>I21*K19</f>
        <v>41761142.857142866</v>
      </c>
      <c r="G21" s="71">
        <f t="shared" si="1"/>
        <v>81677696.034285724</v>
      </c>
      <c r="H21" s="53" t="s">
        <v>162</v>
      </c>
      <c r="I21" s="54">
        <v>0.1</v>
      </c>
    </row>
    <row r="22" spans="1:15" x14ac:dyDescent="0.25">
      <c r="A22" s="70" t="s">
        <v>163</v>
      </c>
      <c r="B22" s="70"/>
      <c r="C22" s="70"/>
      <c r="D22" s="70"/>
      <c r="E22" s="70"/>
      <c r="F22" s="71">
        <f>I22*K19</f>
        <v>41761142.857142866</v>
      </c>
      <c r="G22" s="71">
        <f t="shared" si="1"/>
        <v>81677696.034285724</v>
      </c>
      <c r="H22" s="53" t="s">
        <v>164</v>
      </c>
      <c r="I22" s="54">
        <v>0.1</v>
      </c>
    </row>
    <row r="23" spans="1:15" x14ac:dyDescent="0.25">
      <c r="A23" s="70" t="s">
        <v>165</v>
      </c>
      <c r="B23" s="70"/>
      <c r="C23" s="70"/>
      <c r="D23" s="70"/>
      <c r="E23" s="70"/>
      <c r="F23" s="71">
        <f>I23*K19</f>
        <v>20880571.428571433</v>
      </c>
      <c r="G23" s="71">
        <f>F23*$P$2</f>
        <v>40838848.017142862</v>
      </c>
      <c r="H23" s="53" t="s">
        <v>166</v>
      </c>
      <c r="I23" s="54">
        <v>0.05</v>
      </c>
    </row>
    <row r="24" spans="1:15" x14ac:dyDescent="0.25">
      <c r="A24" s="70" t="s">
        <v>167</v>
      </c>
      <c r="B24" s="70"/>
      <c r="C24" s="70"/>
      <c r="D24" s="70"/>
      <c r="E24" s="70"/>
      <c r="F24" s="71">
        <f>I24*K19</f>
        <v>25701999.999999989</v>
      </c>
      <c r="G24" s="71">
        <f>F24*$P$2</f>
        <v>50268742.659999974</v>
      </c>
      <c r="H24" s="53" t="s">
        <v>168</v>
      </c>
      <c r="I24" s="54">
        <f>20%-I25</f>
        <v>6.1545250540488733E-2</v>
      </c>
    </row>
    <row r="25" spans="1:15" ht="47.25" x14ac:dyDescent="0.25">
      <c r="A25" s="70" t="s">
        <v>169</v>
      </c>
      <c r="B25" s="70"/>
      <c r="C25" s="70"/>
      <c r="D25" s="70"/>
      <c r="E25" s="70"/>
      <c r="F25" s="71">
        <f>F33-F16</f>
        <v>57820285.714285731</v>
      </c>
      <c r="G25" s="71">
        <f t="shared" si="1"/>
        <v>113086649.40857147</v>
      </c>
      <c r="H25" s="53" t="s">
        <v>170</v>
      </c>
      <c r="I25" s="73">
        <f>F25/K19</f>
        <v>0.13845474945951128</v>
      </c>
      <c r="K25" s="65" t="s">
        <v>171</v>
      </c>
      <c r="L25" s="65" t="s">
        <v>172</v>
      </c>
      <c r="M25" s="65" t="s">
        <v>173</v>
      </c>
      <c r="N25" s="66" t="s">
        <v>174</v>
      </c>
      <c r="O25" s="65"/>
    </row>
    <row r="26" spans="1:15" x14ac:dyDescent="0.25">
      <c r="A26" s="62" t="s">
        <v>175</v>
      </c>
      <c r="B26" s="62"/>
      <c r="C26" s="62"/>
      <c r="D26" s="62"/>
      <c r="E26" s="62"/>
      <c r="F26" s="63">
        <f>SUM(F19:F25)</f>
        <v>417611428.57142866</v>
      </c>
      <c r="G26" s="63">
        <f t="shared" si="1"/>
        <v>816776960.34285724</v>
      </c>
      <c r="H26" s="72"/>
      <c r="I26" s="54"/>
      <c r="K26" s="49">
        <f>K10+K19</f>
        <v>1044028571.4285715</v>
      </c>
      <c r="L26" s="49">
        <f>L19+L10</f>
        <v>151782857.14285716</v>
      </c>
      <c r="M26" s="69">
        <f>(F10+F11+F12+F19+F20+F21+F22)/K26</f>
        <v>0.63000000000000023</v>
      </c>
      <c r="N26" s="69">
        <f>(F13+F14+F15+F16+F23+F24+F25)/K26</f>
        <v>0.37</v>
      </c>
      <c r="O26" s="50"/>
    </row>
    <row r="27" spans="1:15" ht="15.75" customHeight="1" x14ac:dyDescent="0.25">
      <c r="A27" s="413" t="s">
        <v>176</v>
      </c>
      <c r="B27" s="414"/>
      <c r="C27" s="414"/>
      <c r="D27" s="414"/>
      <c r="E27" s="414"/>
      <c r="F27" s="414"/>
      <c r="G27" s="414"/>
      <c r="H27" s="415"/>
      <c r="I27" s="54"/>
    </row>
    <row r="28" spans="1:15" x14ac:dyDescent="0.25">
      <c r="A28" s="62" t="s">
        <v>177</v>
      </c>
      <c r="B28" s="62"/>
      <c r="C28" s="62"/>
      <c r="D28" s="62"/>
      <c r="E28" s="62"/>
      <c r="F28" s="63">
        <v>44928571.428571425</v>
      </c>
      <c r="G28" s="63">
        <f>F28*1.95583</f>
        <v>87872647.857142851</v>
      </c>
      <c r="H28" s="72"/>
      <c r="I28" s="54"/>
    </row>
    <row r="29" spans="1:15" ht="31.5" x14ac:dyDescent="0.25">
      <c r="A29" s="74" t="s">
        <v>178</v>
      </c>
      <c r="B29" s="74"/>
      <c r="C29" s="74"/>
      <c r="D29" s="74"/>
      <c r="E29" s="74"/>
      <c r="F29" s="75">
        <f>F26+F17+F28</f>
        <v>1088957142.8571432</v>
      </c>
      <c r="G29" s="75">
        <f t="shared" si="1"/>
        <v>2129815048.7142863</v>
      </c>
      <c r="H29" s="75"/>
      <c r="I29" s="54"/>
      <c r="K29" s="65" t="s">
        <v>179</v>
      </c>
      <c r="L29" s="65" t="s">
        <v>180</v>
      </c>
    </row>
    <row r="30" spans="1:15" ht="30" customHeight="1" x14ac:dyDescent="0.25">
      <c r="A30" s="74" t="s">
        <v>181</v>
      </c>
      <c r="B30" s="74"/>
      <c r="C30" s="74"/>
      <c r="D30" s="74"/>
      <c r="E30" s="74"/>
      <c r="F30" s="75">
        <f>F29+F8</f>
        <v>1517828571.4285717</v>
      </c>
      <c r="G30" s="75">
        <f t="shared" si="1"/>
        <v>2968614654.8571434</v>
      </c>
      <c r="H30" s="75"/>
      <c r="I30" s="54"/>
      <c r="K30" s="49">
        <v>1517828571.4285715</v>
      </c>
      <c r="L30" s="76">
        <f>L26/K30</f>
        <v>0.1</v>
      </c>
    </row>
    <row r="32" spans="1:15" x14ac:dyDescent="0.25">
      <c r="L32" s="77"/>
    </row>
    <row r="33" spans="6:7" x14ac:dyDescent="0.25">
      <c r="F33" s="77">
        <v>151782857.14285716</v>
      </c>
      <c r="G33" s="77">
        <f>F33*1.95583</f>
        <v>296861465.48571432</v>
      </c>
    </row>
  </sheetData>
  <customSheetViews>
    <customSheetView guid="{32A281B9-28FB-4D0E-8C01-BFBADAC8C3C9}" scale="80" showPageBreaks="1" fitToPage="1" printArea="1" state="hidden" view="pageBreakPreview">
      <selection activeCell="A24" sqref="A24"/>
      <pageMargins left="0.7" right="0.7" top="0.75" bottom="0.75" header="0.3" footer="0.3"/>
      <pageSetup paperSize="9" scale="31" orientation="landscape" r:id="rId1"/>
    </customSheetView>
    <customSheetView guid="{77799D3C-38E2-410A-80FA-AECD8E6AB89B}" scale="80" showPageBreaks="1" fitToPage="1" printArea="1" state="hidden" view="pageBreakPreview">
      <selection activeCell="A24" sqref="A24"/>
      <pageMargins left="0.7" right="0.7" top="0.75" bottom="0.75" header="0.3" footer="0.3"/>
      <pageSetup paperSize="9" scale="31" orientation="landscape" r:id="rId2"/>
    </customSheetView>
    <customSheetView guid="{6B77031E-918C-40F9-A42D-E4EA46622624}" scale="80" showPageBreaks="1" fitToPage="1" printArea="1" state="hidden" view="pageBreakPreview">
      <selection activeCell="A24" sqref="A24"/>
      <pageMargins left="0.7" right="0.7" top="0.75" bottom="0.75" header="0.3" footer="0.3"/>
      <pageSetup paperSize="9" scale="31" orientation="landscape" r:id="rId3"/>
    </customSheetView>
    <customSheetView guid="{DE419AE1-55C7-41E8-9A94-E4062EF30970}" scale="80" showPageBreaks="1" fitToPage="1" printArea="1" state="hidden" view="pageBreakPreview">
      <selection activeCell="A24" sqref="A24"/>
      <pageMargins left="0.7" right="0.7" top="0.75" bottom="0.75" header="0.3" footer="0.3"/>
      <pageSetup paperSize="9" scale="31" orientation="landscape" r:id="rId4"/>
    </customSheetView>
    <customSheetView guid="{56BC42A3-D967-4F27-BD5A-CB0B8CB7F657}" scale="80" showPageBreaks="1" fitToPage="1" printArea="1" state="hidden" view="pageBreakPreview">
      <selection activeCell="A24" sqref="A24"/>
      <pageMargins left="0.7" right="0.7" top="0.75" bottom="0.75" header="0.3" footer="0.3"/>
      <pageSetup paperSize="9" scale="31" orientation="landscape" r:id="rId5"/>
    </customSheetView>
    <customSheetView guid="{D1BD168D-40B4-46AB-88B7-64C22520CFA0}" scale="80" showPageBreaks="1" fitToPage="1" printArea="1" state="hidden" view="pageBreakPreview">
      <selection activeCell="A24" sqref="A24"/>
      <pageMargins left="0.7" right="0.7" top="0.75" bottom="0.75" header="0.3" footer="0.3"/>
      <pageSetup paperSize="9" scale="31" orientation="landscape" r:id="rId6"/>
    </customSheetView>
    <customSheetView guid="{2A6315F5-C9A2-43A7-B337-00FD30A3EB26}" scale="80" showPageBreaks="1" fitToPage="1" printArea="1" state="hidden" view="pageBreakPreview">
      <selection activeCell="A24" sqref="A24"/>
      <pageMargins left="0.7" right="0.7" top="0.75" bottom="0.75" header="0.3" footer="0.3"/>
      <pageSetup paperSize="9" scale="31" orientation="landscape" r:id="rId7"/>
    </customSheetView>
    <customSheetView guid="{E07B67F4-8A17-4050-B9B8-81977BCB02E2}" scale="80" showPageBreaks="1" fitToPage="1" printArea="1" state="hidden" view="pageBreakPreview">
      <selection activeCell="A24" sqref="A24"/>
      <pageMargins left="0.7" right="0.7" top="0.75" bottom="0.75" header="0.3" footer="0.3"/>
      <pageSetup paperSize="9" scale="31" orientation="landscape" r:id="rId8"/>
    </customSheetView>
    <customSheetView guid="{9CD5F6CE-0E1C-42DA-A598-93523B740CBC}" scale="80" showPageBreaks="1" fitToPage="1" printArea="1" state="hidden" view="pageBreakPreview">
      <selection activeCell="A24" sqref="A24"/>
      <pageMargins left="0.7" right="0.7" top="0.75" bottom="0.75" header="0.3" footer="0.3"/>
      <pageSetup paperSize="9" scale="31" orientation="landscape" r:id="rId9"/>
    </customSheetView>
    <customSheetView guid="{72B67681-E295-44ED-80A6-F4B618B242B1}" scale="80" showPageBreaks="1" state="hidden" view="pageBreakPreview">
      <selection activeCell="A24" sqref="A24"/>
    </customSheetView>
    <customSheetView guid="{DD0EA6D3-BC8C-40D3-B12F-B88059C8E3DC}" scale="80" showPageBreaks="1" fitToPage="1" printArea="1" state="hidden" view="pageBreakPreview">
      <selection activeCell="A24" sqref="A24"/>
      <pageMargins left="0.7" right="0.7" top="0.75" bottom="0.75" header="0.3" footer="0.3"/>
      <pageSetup paperSize="9" scale="31" orientation="landscape" r:id="rId10"/>
    </customSheetView>
    <customSheetView guid="{B426F9F8-EB1A-4D7B-9478-7E22D414CC12}" scale="80" showPageBreaks="1" fitToPage="1" printArea="1" state="hidden" view="pageBreakPreview">
      <selection activeCell="A24" sqref="A24"/>
      <pageMargins left="0.7" right="0.7" top="0.75" bottom="0.75" header="0.3" footer="0.3"/>
      <pageSetup paperSize="9" scale="31" orientation="landscape" r:id="rId11"/>
    </customSheetView>
    <customSheetView guid="{13EBDE9D-EC74-4522-9EED-363E735B4A78}" scale="80" showPageBreaks="1" fitToPage="1" printArea="1" state="hidden" view="pageBreakPreview">
      <selection activeCell="A24" sqref="A24"/>
      <pageMargins left="0.7" right="0.7" top="0.75" bottom="0.75" header="0.3" footer="0.3"/>
      <pageSetup paperSize="9" scale="31" orientation="landscape" r:id="rId12"/>
    </customSheetView>
    <customSheetView guid="{AD504361-49F3-4986-BDBF-FB73E2299976}" scale="80" showPageBreaks="1" fitToPage="1" printArea="1" state="hidden" view="pageBreakPreview">
      <selection activeCell="A24" sqref="A24"/>
      <pageMargins left="0.7" right="0.7" top="0.75" bottom="0.75" header="0.3" footer="0.3"/>
      <pageSetup paperSize="9" scale="31" orientation="landscape" r:id="rId13"/>
    </customSheetView>
  </customSheetViews>
  <mergeCells count="6">
    <mergeCell ref="A27:H27"/>
    <mergeCell ref="A1:H1"/>
    <mergeCell ref="K1:O1"/>
    <mergeCell ref="A3:H3"/>
    <mergeCell ref="A9:H9"/>
    <mergeCell ref="A18:H18"/>
  </mergeCells>
  <pageMargins left="0.7" right="0.7" top="0.75" bottom="0.75" header="0.3" footer="0.3"/>
  <pageSetup paperSize="9" scale="31" orientation="landscape"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S81"/>
  <sheetViews>
    <sheetView tabSelected="1" zoomScale="85" zoomScaleNormal="100" zoomScaleSheetLayoutView="100" workbookViewId="0">
      <pane xSplit="1" ySplit="1" topLeftCell="B2" activePane="bottomRight" state="frozen"/>
      <selection pane="topRight" activeCell="B1" sqref="B1"/>
      <selection pane="bottomLeft" activeCell="A2" sqref="A2"/>
      <selection pane="bottomRight" sqref="A1:S1048576"/>
    </sheetView>
  </sheetViews>
  <sheetFormatPr defaultColWidth="21.42578125" defaultRowHeight="12" x14ac:dyDescent="0.2"/>
  <cols>
    <col min="1" max="1" width="20.7109375" style="270" customWidth="1"/>
    <col min="2" max="2" width="5.85546875" style="271" customWidth="1"/>
    <col min="3" max="3" width="8.7109375" style="272" customWidth="1"/>
    <col min="4" max="4" width="8" style="272" customWidth="1"/>
    <col min="5" max="5" width="60.5703125" style="270" customWidth="1"/>
    <col min="6" max="6" width="74.140625" style="273" customWidth="1"/>
    <col min="7" max="7" width="26.28515625" style="274" customWidth="1"/>
    <col min="8" max="8" width="64.85546875" style="270" customWidth="1"/>
    <col min="9" max="9" width="42.85546875" style="270" customWidth="1"/>
    <col min="10" max="10" width="13.5703125" style="270" customWidth="1"/>
    <col min="11" max="11" width="11.85546875" style="270" customWidth="1"/>
    <col min="12" max="12" width="12.140625" style="270" customWidth="1"/>
    <col min="13" max="13" width="9.7109375" style="270" customWidth="1"/>
    <col min="14" max="14" width="10.85546875" style="333" customWidth="1"/>
    <col min="15" max="15" width="12.85546875" style="333" customWidth="1"/>
    <col min="16" max="18" width="13.42578125" style="333" customWidth="1"/>
    <col min="19" max="19" width="11.7109375" style="333" customWidth="1"/>
    <col min="20" max="16384" width="21.42578125" style="275"/>
  </cols>
  <sheetData>
    <row r="1" spans="1:19" s="329" customFormat="1" ht="107.25" customHeight="1" x14ac:dyDescent="0.25">
      <c r="A1" s="295" t="s">
        <v>336</v>
      </c>
      <c r="B1" s="296" t="s">
        <v>324</v>
      </c>
      <c r="C1" s="296" t="s">
        <v>325</v>
      </c>
      <c r="D1" s="296" t="s">
        <v>322</v>
      </c>
      <c r="E1" s="296" t="s">
        <v>337</v>
      </c>
      <c r="F1" s="296" t="s">
        <v>338</v>
      </c>
      <c r="G1" s="297" t="s">
        <v>335</v>
      </c>
      <c r="H1" s="296" t="s">
        <v>339</v>
      </c>
      <c r="I1" s="296" t="s">
        <v>340</v>
      </c>
      <c r="J1" s="232" t="s">
        <v>440</v>
      </c>
      <c r="K1" s="232" t="s">
        <v>341</v>
      </c>
      <c r="L1" s="382" t="s">
        <v>342</v>
      </c>
      <c r="M1" s="264" t="s">
        <v>343</v>
      </c>
      <c r="N1" s="264" t="s">
        <v>345</v>
      </c>
      <c r="O1" s="264" t="s">
        <v>346</v>
      </c>
      <c r="P1" s="264" t="s">
        <v>347</v>
      </c>
      <c r="Q1" s="264" t="s">
        <v>348</v>
      </c>
      <c r="R1" s="264" t="s">
        <v>349</v>
      </c>
      <c r="S1" s="334" t="s">
        <v>351</v>
      </c>
    </row>
    <row r="2" spans="1:19" s="330" customFormat="1" ht="19.5" customHeight="1" x14ac:dyDescent="0.25">
      <c r="A2" s="298">
        <v>1</v>
      </c>
      <c r="B2" s="262">
        <v>2</v>
      </c>
      <c r="C2" s="263">
        <v>3</v>
      </c>
      <c r="D2" s="263">
        <v>4</v>
      </c>
      <c r="E2" s="262">
        <v>5</v>
      </c>
      <c r="F2" s="262">
        <v>5</v>
      </c>
      <c r="G2" s="262">
        <v>6</v>
      </c>
      <c r="H2" s="262">
        <v>7</v>
      </c>
      <c r="I2" s="262">
        <v>8</v>
      </c>
      <c r="J2" s="251">
        <v>9</v>
      </c>
      <c r="K2" s="233">
        <v>10</v>
      </c>
      <c r="L2" s="383">
        <v>11</v>
      </c>
      <c r="M2" s="265">
        <v>12</v>
      </c>
      <c r="N2" s="265">
        <v>13</v>
      </c>
      <c r="O2" s="265">
        <v>14</v>
      </c>
      <c r="P2" s="265">
        <v>15</v>
      </c>
      <c r="Q2" s="265">
        <v>16</v>
      </c>
      <c r="R2" s="265">
        <v>17</v>
      </c>
      <c r="S2" s="233">
        <v>19</v>
      </c>
    </row>
    <row r="3" spans="1:19" s="332" customFormat="1" ht="254.25" customHeight="1" x14ac:dyDescent="0.25">
      <c r="A3" s="359" t="s">
        <v>321</v>
      </c>
      <c r="B3" s="360" t="s">
        <v>323</v>
      </c>
      <c r="C3" s="361">
        <f>'Подробно разпределение '!P3</f>
        <v>23</v>
      </c>
      <c r="D3" s="361">
        <f>'Подробно разпределение '!AD3</f>
        <v>66</v>
      </c>
      <c r="E3" s="362" t="s">
        <v>448</v>
      </c>
      <c r="F3" s="363" t="s">
        <v>461</v>
      </c>
      <c r="G3" s="364" t="s">
        <v>344</v>
      </c>
      <c r="H3" s="362" t="s">
        <v>462</v>
      </c>
      <c r="I3" s="362" t="s">
        <v>463</v>
      </c>
      <c r="J3" s="252">
        <v>181</v>
      </c>
      <c r="K3" s="292">
        <v>2981148.31</v>
      </c>
      <c r="L3" s="292">
        <v>7063314.1100000003</v>
      </c>
      <c r="M3" s="266"/>
      <c r="N3" s="365">
        <v>5</v>
      </c>
      <c r="O3" s="365">
        <v>5</v>
      </c>
      <c r="P3" s="365">
        <v>5</v>
      </c>
      <c r="Q3" s="365">
        <v>5</v>
      </c>
      <c r="R3" s="365">
        <v>5</v>
      </c>
      <c r="S3" s="365"/>
    </row>
    <row r="4" spans="1:19" ht="12" customHeight="1" x14ac:dyDescent="0.25">
      <c r="A4" s="299"/>
      <c r="B4" s="287" t="s">
        <v>323</v>
      </c>
      <c r="C4" s="284">
        <f>ROUND(C3/6,0)</f>
        <v>4</v>
      </c>
      <c r="D4" s="284">
        <f>ROUND(D3/6,0)</f>
        <v>11</v>
      </c>
      <c r="E4" s="300"/>
      <c r="F4" s="300"/>
      <c r="G4" s="301"/>
      <c r="H4" s="302"/>
      <c r="I4" s="302"/>
      <c r="J4" s="253" t="s">
        <v>313</v>
      </c>
      <c r="K4" s="290">
        <v>413254.76</v>
      </c>
      <c r="L4" s="290">
        <v>1154651.5200000005</v>
      </c>
      <c r="M4" s="267">
        <v>0.7</v>
      </c>
      <c r="N4" s="319"/>
      <c r="O4" s="319"/>
      <c r="P4" s="319"/>
      <c r="Q4" s="319"/>
      <c r="R4" s="319"/>
      <c r="S4" s="319"/>
    </row>
    <row r="5" spans="1:19" ht="36" x14ac:dyDescent="0.25">
      <c r="A5" s="299"/>
      <c r="B5" s="287" t="s">
        <v>323</v>
      </c>
      <c r="C5" s="284">
        <f>C3-C4</f>
        <v>19</v>
      </c>
      <c r="D5" s="284">
        <f>D3-D4</f>
        <v>55</v>
      </c>
      <c r="E5" s="300"/>
      <c r="F5" s="300"/>
      <c r="G5" s="301"/>
      <c r="H5" s="302"/>
      <c r="I5" s="302"/>
      <c r="J5" s="253" t="s">
        <v>311</v>
      </c>
      <c r="K5" s="291">
        <v>2567893.5499999998</v>
      </c>
      <c r="L5" s="290">
        <v>5908662.5899999999</v>
      </c>
      <c r="M5" s="267">
        <v>0.85</v>
      </c>
      <c r="N5" s="319"/>
      <c r="O5" s="319"/>
      <c r="P5" s="319"/>
      <c r="Q5" s="319"/>
      <c r="R5" s="319"/>
      <c r="S5" s="319"/>
    </row>
    <row r="6" spans="1:19" s="332" customFormat="1" ht="359.25" customHeight="1" x14ac:dyDescent="0.25">
      <c r="A6" s="359" t="s">
        <v>328</v>
      </c>
      <c r="B6" s="361" t="s">
        <v>323</v>
      </c>
      <c r="C6" s="361">
        <f>'Подробно разпределение '!P4</f>
        <v>2</v>
      </c>
      <c r="D6" s="361">
        <f>'Подробно разпределение '!AD4</f>
        <v>10</v>
      </c>
      <c r="E6" s="362" t="s">
        <v>464</v>
      </c>
      <c r="F6" s="363" t="s">
        <v>465</v>
      </c>
      <c r="G6" s="364" t="s">
        <v>344</v>
      </c>
      <c r="H6" s="362" t="s">
        <v>466</v>
      </c>
      <c r="I6" s="362" t="s">
        <v>400</v>
      </c>
      <c r="J6" s="252">
        <v>181</v>
      </c>
      <c r="K6" s="292">
        <v>2330854.4699999997</v>
      </c>
      <c r="L6" s="292">
        <v>5522555.5800000001</v>
      </c>
      <c r="M6" s="266"/>
      <c r="N6" s="365">
        <v>5</v>
      </c>
      <c r="O6" s="365"/>
      <c r="P6" s="365"/>
      <c r="Q6" s="365"/>
      <c r="R6" s="365"/>
      <c r="S6" s="365"/>
    </row>
    <row r="7" spans="1:19" ht="12" customHeight="1" x14ac:dyDescent="0.25">
      <c r="A7" s="299"/>
      <c r="B7" s="287" t="s">
        <v>323</v>
      </c>
      <c r="C7" s="285">
        <f>ROUND(C6/6,2)</f>
        <v>0.33</v>
      </c>
      <c r="D7" s="285">
        <f>ROUND(D6/6,2)</f>
        <v>1.67</v>
      </c>
      <c r="E7" s="300"/>
      <c r="F7" s="300"/>
      <c r="G7" s="301"/>
      <c r="H7" s="302"/>
      <c r="I7" s="302"/>
      <c r="J7" s="253" t="s">
        <v>313</v>
      </c>
      <c r="K7" s="291">
        <v>323109.28999999998</v>
      </c>
      <c r="L7" s="291">
        <v>902781.2</v>
      </c>
      <c r="M7" s="267">
        <v>0.7</v>
      </c>
      <c r="N7" s="319"/>
      <c r="O7" s="319"/>
      <c r="P7" s="319"/>
      <c r="Q7" s="319"/>
      <c r="R7" s="319"/>
      <c r="S7" s="319"/>
    </row>
    <row r="8" spans="1:19" ht="14.25" customHeight="1" x14ac:dyDescent="0.25">
      <c r="A8" s="299"/>
      <c r="B8" s="287" t="s">
        <v>323</v>
      </c>
      <c r="C8" s="285">
        <f>C6-C7</f>
        <v>1.67</v>
      </c>
      <c r="D8" s="285">
        <f>D6-D7</f>
        <v>8.33</v>
      </c>
      <c r="E8" s="300"/>
      <c r="F8" s="300"/>
      <c r="G8" s="301"/>
      <c r="H8" s="302"/>
      <c r="I8" s="302"/>
      <c r="J8" s="253" t="s">
        <v>311</v>
      </c>
      <c r="K8" s="290">
        <v>2007745.18</v>
      </c>
      <c r="L8" s="291">
        <v>4619774.38</v>
      </c>
      <c r="M8" s="267">
        <v>0.85</v>
      </c>
      <c r="N8" s="319"/>
      <c r="O8" s="319"/>
      <c r="P8" s="319"/>
      <c r="Q8" s="319"/>
      <c r="R8" s="319"/>
      <c r="S8" s="319"/>
    </row>
    <row r="9" spans="1:19" s="332" customFormat="1" ht="206.25" customHeight="1" x14ac:dyDescent="0.25">
      <c r="A9" s="359" t="s">
        <v>350</v>
      </c>
      <c r="B9" s="360" t="s">
        <v>323</v>
      </c>
      <c r="C9" s="361">
        <f>'Подробно разпределение '!P5</f>
        <v>25</v>
      </c>
      <c r="D9" s="361">
        <f>'Подробно разпределение '!AD5</f>
        <v>44</v>
      </c>
      <c r="E9" s="362" t="s">
        <v>441</v>
      </c>
      <c r="F9" s="363" t="s">
        <v>467</v>
      </c>
      <c r="G9" s="364" t="s">
        <v>344</v>
      </c>
      <c r="H9" s="362" t="s">
        <v>468</v>
      </c>
      <c r="I9" s="362" t="s">
        <v>442</v>
      </c>
      <c r="J9" s="252">
        <v>180</v>
      </c>
      <c r="K9" s="292">
        <v>5076362.38</v>
      </c>
      <c r="L9" s="292">
        <v>12027560.640000001</v>
      </c>
      <c r="M9" s="266"/>
      <c r="N9" s="365">
        <v>10</v>
      </c>
      <c r="O9" s="365">
        <v>10</v>
      </c>
      <c r="P9" s="365">
        <v>10</v>
      </c>
      <c r="Q9" s="365">
        <v>10</v>
      </c>
      <c r="R9" s="365">
        <v>10</v>
      </c>
      <c r="S9" s="365"/>
    </row>
    <row r="10" spans="1:19" ht="12" customHeight="1" x14ac:dyDescent="0.25">
      <c r="A10" s="299"/>
      <c r="B10" s="287" t="s">
        <v>323</v>
      </c>
      <c r="C10" s="284">
        <f>ROUND(C9/6,0)</f>
        <v>4</v>
      </c>
      <c r="D10" s="284">
        <f>ROUND(D9/6,0)</f>
        <v>7</v>
      </c>
      <c r="E10" s="300"/>
      <c r="F10" s="300"/>
      <c r="G10" s="301"/>
      <c r="H10" s="302"/>
      <c r="I10" s="302"/>
      <c r="J10" s="253" t="s">
        <v>313</v>
      </c>
      <c r="K10" s="291">
        <v>703698.95</v>
      </c>
      <c r="L10" s="291">
        <v>1966165.0200000014</v>
      </c>
      <c r="M10" s="267">
        <v>0.7</v>
      </c>
      <c r="N10" s="319"/>
      <c r="O10" s="319"/>
      <c r="P10" s="319"/>
      <c r="Q10" s="319"/>
      <c r="R10" s="319"/>
      <c r="S10" s="319"/>
    </row>
    <row r="11" spans="1:19" ht="36" x14ac:dyDescent="0.25">
      <c r="A11" s="299"/>
      <c r="B11" s="287" t="s">
        <v>323</v>
      </c>
      <c r="C11" s="284">
        <f>C9-C10</f>
        <v>21</v>
      </c>
      <c r="D11" s="284">
        <f>D9-D10</f>
        <v>37</v>
      </c>
      <c r="E11" s="300"/>
      <c r="F11" s="300"/>
      <c r="G11" s="301"/>
      <c r="H11" s="302"/>
      <c r="I11" s="302"/>
      <c r="J11" s="253" t="s">
        <v>311</v>
      </c>
      <c r="K11" s="290">
        <v>4372663.43</v>
      </c>
      <c r="L11" s="291">
        <v>10061395.619999999</v>
      </c>
      <c r="M11" s="267">
        <v>0.85</v>
      </c>
      <c r="N11" s="319"/>
      <c r="O11" s="319"/>
      <c r="P11" s="319"/>
      <c r="Q11" s="319"/>
      <c r="R11" s="319"/>
      <c r="S11" s="319"/>
    </row>
    <row r="12" spans="1:19" s="331" customFormat="1" ht="57.75" customHeight="1" x14ac:dyDescent="0.25">
      <c r="A12" s="268" t="s">
        <v>389</v>
      </c>
      <c r="B12" s="259" t="s">
        <v>323</v>
      </c>
      <c r="C12" s="260">
        <f>'Подробно разпределение '!P6</f>
        <v>493</v>
      </c>
      <c r="D12" s="260">
        <f>'Подробно разпределение '!AD6</f>
        <v>1719</v>
      </c>
      <c r="E12" s="234" t="s">
        <v>369</v>
      </c>
      <c r="F12" s="235" t="s">
        <v>451</v>
      </c>
      <c r="G12" s="261" t="s">
        <v>344</v>
      </c>
      <c r="H12" s="303" t="s">
        <v>370</v>
      </c>
      <c r="I12" s="234" t="s">
        <v>373</v>
      </c>
      <c r="J12" s="252">
        <v>180</v>
      </c>
      <c r="K12" s="237">
        <v>5281488.55</v>
      </c>
      <c r="L12" s="237">
        <v>12513571.5</v>
      </c>
      <c r="M12" s="266"/>
      <c r="N12" s="319"/>
      <c r="O12" s="319">
        <v>15</v>
      </c>
      <c r="P12" s="319">
        <v>15</v>
      </c>
      <c r="Q12" s="319">
        <v>15</v>
      </c>
      <c r="R12" s="319">
        <v>0</v>
      </c>
      <c r="S12" s="319"/>
    </row>
    <row r="13" spans="1:19" x14ac:dyDescent="0.25">
      <c r="A13" s="299"/>
      <c r="B13" s="287" t="s">
        <v>323</v>
      </c>
      <c r="C13" s="284">
        <f>ROUND(C12/6,0)</f>
        <v>82</v>
      </c>
      <c r="D13" s="284">
        <f>ROUND(D12/6,0)</f>
        <v>287</v>
      </c>
      <c r="E13" s="300"/>
      <c r="F13" s="300"/>
      <c r="G13" s="301"/>
      <c r="H13" s="302"/>
      <c r="I13" s="302"/>
      <c r="J13" s="253" t="s">
        <v>313</v>
      </c>
      <c r="K13" s="291">
        <v>732134.11</v>
      </c>
      <c r="L13" s="291">
        <v>2045614.0099999998</v>
      </c>
      <c r="M13" s="267">
        <v>0.7</v>
      </c>
      <c r="N13" s="319"/>
      <c r="O13" s="319"/>
      <c r="P13" s="319"/>
      <c r="Q13" s="319"/>
      <c r="R13" s="319"/>
      <c r="S13" s="319"/>
    </row>
    <row r="14" spans="1:19" ht="36" x14ac:dyDescent="0.25">
      <c r="A14" s="299"/>
      <c r="B14" s="287" t="s">
        <v>323</v>
      </c>
      <c r="C14" s="284">
        <f>C12-C13</f>
        <v>411</v>
      </c>
      <c r="D14" s="284">
        <f>D12-D13</f>
        <v>1432</v>
      </c>
      <c r="E14" s="349"/>
      <c r="F14" s="300"/>
      <c r="G14" s="301"/>
      <c r="H14" s="302"/>
      <c r="I14" s="302"/>
      <c r="J14" s="253" t="s">
        <v>311</v>
      </c>
      <c r="K14" s="291">
        <v>4549354.4399999995</v>
      </c>
      <c r="L14" s="291">
        <v>10467957.49</v>
      </c>
      <c r="M14" s="267">
        <v>0.85</v>
      </c>
      <c r="N14" s="319"/>
      <c r="O14" s="319"/>
      <c r="P14" s="319"/>
      <c r="Q14" s="319"/>
      <c r="R14" s="319"/>
      <c r="S14" s="319"/>
    </row>
    <row r="15" spans="1:19" s="332" customFormat="1" ht="248.25" customHeight="1" x14ac:dyDescent="0.25">
      <c r="A15" s="366" t="s">
        <v>456</v>
      </c>
      <c r="B15" s="360" t="s">
        <v>318</v>
      </c>
      <c r="C15" s="361">
        <v>92</v>
      </c>
      <c r="D15" s="361">
        <v>94</v>
      </c>
      <c r="E15" s="362" t="s">
        <v>457</v>
      </c>
      <c r="F15" s="362" t="s">
        <v>458</v>
      </c>
      <c r="G15" s="364" t="s">
        <v>344</v>
      </c>
      <c r="H15" s="367" t="s">
        <v>454</v>
      </c>
      <c r="I15" s="362" t="s">
        <v>453</v>
      </c>
      <c r="J15" s="252">
        <v>180</v>
      </c>
      <c r="K15" s="237">
        <v>1438622.64</v>
      </c>
      <c r="L15" s="237">
        <v>3408566.93</v>
      </c>
      <c r="M15" s="266"/>
      <c r="N15" s="365"/>
      <c r="O15" s="365"/>
      <c r="P15" s="365"/>
      <c r="Q15" s="365"/>
      <c r="R15" s="368">
        <v>61</v>
      </c>
      <c r="S15" s="365"/>
    </row>
    <row r="16" spans="1:19" x14ac:dyDescent="0.25">
      <c r="A16" s="299"/>
      <c r="B16" s="288" t="s">
        <v>318</v>
      </c>
      <c r="C16" s="284">
        <v>92</v>
      </c>
      <c r="D16" s="284">
        <v>94</v>
      </c>
      <c r="E16" s="300"/>
      <c r="F16" s="300"/>
      <c r="G16" s="301"/>
      <c r="H16" s="302"/>
      <c r="I16" s="302"/>
      <c r="J16" s="253" t="s">
        <v>313</v>
      </c>
      <c r="K16" s="291">
        <v>199425.73</v>
      </c>
      <c r="L16" s="291">
        <v>557204.01000000024</v>
      </c>
      <c r="M16" s="267">
        <v>0.7</v>
      </c>
      <c r="N16" s="319"/>
      <c r="O16" s="319"/>
      <c r="P16" s="319"/>
      <c r="Q16" s="319"/>
      <c r="R16" s="319"/>
      <c r="S16" s="319"/>
    </row>
    <row r="17" spans="1:19" ht="36" x14ac:dyDescent="0.25">
      <c r="A17" s="299"/>
      <c r="B17" s="288" t="s">
        <v>318</v>
      </c>
      <c r="C17" s="284">
        <v>92</v>
      </c>
      <c r="D17" s="284">
        <v>94</v>
      </c>
      <c r="E17" s="300"/>
      <c r="F17" s="300"/>
      <c r="G17" s="301"/>
      <c r="H17" s="302"/>
      <c r="I17" s="302"/>
      <c r="J17" s="253" t="s">
        <v>311</v>
      </c>
      <c r="K17" s="291">
        <v>1239196.9099999999</v>
      </c>
      <c r="L17" s="291">
        <v>2851362.92</v>
      </c>
      <c r="M17" s="267">
        <v>0.85</v>
      </c>
      <c r="N17" s="319"/>
      <c r="O17" s="319"/>
      <c r="P17" s="319"/>
      <c r="Q17" s="319"/>
      <c r="R17" s="319"/>
      <c r="S17" s="319"/>
    </row>
    <row r="18" spans="1:19" s="332" customFormat="1" ht="292.5" customHeight="1" x14ac:dyDescent="0.25">
      <c r="A18" s="369" t="s">
        <v>390</v>
      </c>
      <c r="B18" s="360" t="s">
        <v>323</v>
      </c>
      <c r="C18" s="370">
        <f>'Подробно разпределение '!P8</f>
        <v>0</v>
      </c>
      <c r="D18" s="370">
        <f>'Подробно разпределение '!AD8</f>
        <v>1</v>
      </c>
      <c r="E18" s="363" t="s">
        <v>469</v>
      </c>
      <c r="F18" s="363" t="s">
        <v>443</v>
      </c>
      <c r="G18" s="364" t="s">
        <v>344</v>
      </c>
      <c r="H18" s="362" t="s">
        <v>452</v>
      </c>
      <c r="I18" s="362" t="s">
        <v>401</v>
      </c>
      <c r="J18" s="252">
        <v>180</v>
      </c>
      <c r="K18" s="237">
        <v>1792534.62</v>
      </c>
      <c r="L18" s="237">
        <v>4247100</v>
      </c>
      <c r="M18" s="269"/>
      <c r="N18" s="365"/>
      <c r="O18" s="365"/>
      <c r="P18" s="365"/>
      <c r="Q18" s="365"/>
      <c r="R18" s="365"/>
      <c r="S18" s="365"/>
    </row>
    <row r="19" spans="1:19" x14ac:dyDescent="0.25">
      <c r="A19" s="299"/>
      <c r="B19" s="287" t="s">
        <v>323</v>
      </c>
      <c r="C19" s="285">
        <f>ROUND(C18/6,2)</f>
        <v>0</v>
      </c>
      <c r="D19" s="285">
        <f>ROUND(D18/6,2)</f>
        <v>0.17</v>
      </c>
      <c r="E19" s="300"/>
      <c r="F19" s="300"/>
      <c r="G19" s="301"/>
      <c r="H19" s="302"/>
      <c r="I19" s="302"/>
      <c r="J19" s="253" t="s">
        <v>313</v>
      </c>
      <c r="K19" s="290">
        <v>248485.96000000002</v>
      </c>
      <c r="L19" s="290">
        <v>694280.39</v>
      </c>
      <c r="M19" s="267">
        <v>0.7</v>
      </c>
      <c r="N19" s="319"/>
      <c r="O19" s="319"/>
      <c r="P19" s="319"/>
      <c r="Q19" s="319"/>
      <c r="R19" s="319"/>
      <c r="S19" s="319"/>
    </row>
    <row r="20" spans="1:19" ht="36" x14ac:dyDescent="0.25">
      <c r="A20" s="299"/>
      <c r="B20" s="287" t="s">
        <v>323</v>
      </c>
      <c r="C20" s="285">
        <f>C18-C19</f>
        <v>0</v>
      </c>
      <c r="D20" s="285">
        <f>D18-D19</f>
        <v>0.83</v>
      </c>
      <c r="E20" s="300"/>
      <c r="F20" s="300"/>
      <c r="G20" s="301"/>
      <c r="H20" s="302"/>
      <c r="I20" s="302"/>
      <c r="J20" s="253" t="s">
        <v>311</v>
      </c>
      <c r="K20" s="290">
        <v>1544048.66</v>
      </c>
      <c r="L20" s="290">
        <v>3552819.61</v>
      </c>
      <c r="M20" s="267">
        <v>0.85</v>
      </c>
      <c r="N20" s="319"/>
      <c r="O20" s="319"/>
      <c r="P20" s="319"/>
      <c r="Q20" s="319"/>
      <c r="R20" s="319"/>
      <c r="S20" s="319"/>
    </row>
    <row r="21" spans="1:19" s="332" customFormat="1" ht="130.5" customHeight="1" x14ac:dyDescent="0.25">
      <c r="A21" s="359" t="s">
        <v>391</v>
      </c>
      <c r="B21" s="360" t="s">
        <v>323</v>
      </c>
      <c r="C21" s="370">
        <f>'Подробно разпределение '!P9</f>
        <v>25</v>
      </c>
      <c r="D21" s="370">
        <f>'Подробно разпределение '!AD9</f>
        <v>75</v>
      </c>
      <c r="E21" s="362" t="s">
        <v>470</v>
      </c>
      <c r="F21" s="371" t="s">
        <v>435</v>
      </c>
      <c r="G21" s="364" t="s">
        <v>344</v>
      </c>
      <c r="H21" s="362" t="s">
        <v>471</v>
      </c>
      <c r="I21" s="362" t="s">
        <v>374</v>
      </c>
      <c r="J21" s="252">
        <v>180</v>
      </c>
      <c r="K21" s="237">
        <v>5622120.3699999992</v>
      </c>
      <c r="L21" s="237">
        <v>13320639.6</v>
      </c>
      <c r="M21" s="266"/>
      <c r="N21" s="365">
        <v>8</v>
      </c>
      <c r="O21" s="365"/>
      <c r="P21" s="365"/>
      <c r="Q21" s="365"/>
      <c r="R21" s="365"/>
      <c r="S21" s="365"/>
    </row>
    <row r="22" spans="1:19" x14ac:dyDescent="0.25">
      <c r="A22" s="299"/>
      <c r="B22" s="287" t="s">
        <v>323</v>
      </c>
      <c r="C22" s="284">
        <f>ROUND(C21/6,0)</f>
        <v>4</v>
      </c>
      <c r="D22" s="284">
        <f>ROUND(D21/6,0)</f>
        <v>13</v>
      </c>
      <c r="E22" s="300"/>
      <c r="F22" s="300"/>
      <c r="G22" s="301"/>
      <c r="H22" s="302"/>
      <c r="I22" s="302"/>
      <c r="J22" s="253" t="s">
        <v>313</v>
      </c>
      <c r="K22" s="291">
        <v>779353.39</v>
      </c>
      <c r="L22" s="291">
        <v>2177546.7599999998</v>
      </c>
      <c r="M22" s="267">
        <v>0.7</v>
      </c>
      <c r="N22" s="319"/>
      <c r="O22" s="319"/>
      <c r="P22" s="319"/>
      <c r="Q22" s="319"/>
      <c r="R22" s="319"/>
      <c r="S22" s="319"/>
    </row>
    <row r="23" spans="1:19" ht="36" x14ac:dyDescent="0.25">
      <c r="A23" s="299"/>
      <c r="B23" s="287" t="s">
        <v>323</v>
      </c>
      <c r="C23" s="284">
        <f>C21-C22</f>
        <v>21</v>
      </c>
      <c r="D23" s="284">
        <f>D21-D22</f>
        <v>62</v>
      </c>
      <c r="E23" s="300"/>
      <c r="F23" s="300"/>
      <c r="G23" s="301"/>
      <c r="H23" s="302"/>
      <c r="I23" s="302"/>
      <c r="J23" s="253" t="s">
        <v>311</v>
      </c>
      <c r="K23" s="291">
        <v>4842766.9799999995</v>
      </c>
      <c r="L23" s="291">
        <v>11143092.84</v>
      </c>
      <c r="M23" s="267">
        <v>0.85</v>
      </c>
      <c r="N23" s="319"/>
      <c r="O23" s="319"/>
      <c r="P23" s="319"/>
      <c r="Q23" s="319"/>
      <c r="R23" s="319"/>
      <c r="S23" s="319"/>
    </row>
    <row r="24" spans="1:19" s="332" customFormat="1" ht="115.5" customHeight="1" x14ac:dyDescent="0.25">
      <c r="A24" s="359" t="s">
        <v>392</v>
      </c>
      <c r="B24" s="360" t="s">
        <v>318</v>
      </c>
      <c r="C24" s="370">
        <v>10</v>
      </c>
      <c r="D24" s="370">
        <v>30</v>
      </c>
      <c r="E24" s="362" t="s">
        <v>472</v>
      </c>
      <c r="F24" s="371" t="s">
        <v>444</v>
      </c>
      <c r="G24" s="364" t="s">
        <v>344</v>
      </c>
      <c r="H24" s="362" t="s">
        <v>445</v>
      </c>
      <c r="I24" s="362" t="s">
        <v>375</v>
      </c>
      <c r="J24" s="252">
        <v>180</v>
      </c>
      <c r="K24" s="237">
        <v>6013696.29</v>
      </c>
      <c r="L24" s="237">
        <v>14248410.890000001</v>
      </c>
      <c r="M24" s="266"/>
      <c r="N24" s="365">
        <v>8</v>
      </c>
      <c r="O24" s="365"/>
      <c r="P24" s="365"/>
      <c r="Q24" s="365"/>
      <c r="R24" s="365"/>
      <c r="S24" s="365"/>
    </row>
    <row r="25" spans="1:19" x14ac:dyDescent="0.25">
      <c r="A25" s="299"/>
      <c r="B25" s="288" t="s">
        <v>318</v>
      </c>
      <c r="C25" s="284">
        <v>10</v>
      </c>
      <c r="D25" s="284">
        <v>30</v>
      </c>
      <c r="E25" s="300"/>
      <c r="F25" s="300"/>
      <c r="G25" s="301"/>
      <c r="H25" s="302"/>
      <c r="I25" s="302"/>
      <c r="J25" s="253" t="s">
        <v>313</v>
      </c>
      <c r="K25" s="291">
        <v>833634.69</v>
      </c>
      <c r="L25" s="291">
        <v>2329211.0500000007</v>
      </c>
      <c r="M25" s="267">
        <v>0.7</v>
      </c>
      <c r="N25" s="319"/>
      <c r="O25" s="319"/>
      <c r="P25" s="319"/>
      <c r="Q25" s="319"/>
      <c r="R25" s="319"/>
      <c r="S25" s="319"/>
    </row>
    <row r="26" spans="1:19" ht="36" x14ac:dyDescent="0.25">
      <c r="A26" s="299"/>
      <c r="B26" s="288" t="s">
        <v>318</v>
      </c>
      <c r="C26" s="284">
        <v>10</v>
      </c>
      <c r="D26" s="284">
        <v>30</v>
      </c>
      <c r="E26" s="300"/>
      <c r="F26" s="300"/>
      <c r="G26" s="301"/>
      <c r="H26" s="302"/>
      <c r="I26" s="302"/>
      <c r="J26" s="253" t="s">
        <v>311</v>
      </c>
      <c r="K26" s="291">
        <v>5180061.5999999996</v>
      </c>
      <c r="L26" s="291">
        <v>11919199.84</v>
      </c>
      <c r="M26" s="267">
        <v>0.85</v>
      </c>
      <c r="N26" s="319"/>
      <c r="O26" s="319"/>
      <c r="P26" s="319"/>
      <c r="Q26" s="319"/>
      <c r="R26" s="319"/>
      <c r="S26" s="319"/>
    </row>
    <row r="27" spans="1:19" s="332" customFormat="1" ht="133.5" customHeight="1" x14ac:dyDescent="0.25">
      <c r="A27" s="359" t="s">
        <v>393</v>
      </c>
      <c r="B27" s="360" t="s">
        <v>318</v>
      </c>
      <c r="C27" s="370">
        <v>20</v>
      </c>
      <c r="D27" s="370">
        <v>40</v>
      </c>
      <c r="E27" s="362" t="s">
        <v>449</v>
      </c>
      <c r="F27" s="371" t="s">
        <v>446</v>
      </c>
      <c r="G27" s="364" t="s">
        <v>344</v>
      </c>
      <c r="H27" s="362" t="s">
        <v>445</v>
      </c>
      <c r="I27" s="362" t="s">
        <v>410</v>
      </c>
      <c r="J27" s="252">
        <v>180</v>
      </c>
      <c r="K27" s="237">
        <v>6013696.29</v>
      </c>
      <c r="L27" s="237">
        <v>14248410.890000001</v>
      </c>
      <c r="M27" s="266"/>
      <c r="N27" s="365">
        <v>8</v>
      </c>
      <c r="O27" s="365"/>
      <c r="P27" s="365"/>
      <c r="Q27" s="365"/>
      <c r="R27" s="365"/>
      <c r="S27" s="365"/>
    </row>
    <row r="28" spans="1:19" x14ac:dyDescent="0.25">
      <c r="A28" s="299"/>
      <c r="B28" s="288" t="s">
        <v>318</v>
      </c>
      <c r="C28" s="284">
        <v>20</v>
      </c>
      <c r="D28" s="284">
        <v>40</v>
      </c>
      <c r="E28" s="300"/>
      <c r="F28" s="300"/>
      <c r="G28" s="301"/>
      <c r="H28" s="302"/>
      <c r="I28" s="302"/>
      <c r="J28" s="253" t="s">
        <v>313</v>
      </c>
      <c r="K28" s="291">
        <v>833634.69</v>
      </c>
      <c r="L28" s="291">
        <v>2329211.0500000007</v>
      </c>
      <c r="M28" s="267">
        <v>0.7</v>
      </c>
      <c r="N28" s="319"/>
      <c r="O28" s="319"/>
      <c r="P28" s="319"/>
      <c r="Q28" s="319"/>
      <c r="R28" s="319"/>
      <c r="S28" s="319"/>
    </row>
    <row r="29" spans="1:19" ht="36" x14ac:dyDescent="0.25">
      <c r="A29" s="299"/>
      <c r="B29" s="288" t="s">
        <v>318</v>
      </c>
      <c r="C29" s="284">
        <v>20</v>
      </c>
      <c r="D29" s="284">
        <v>40</v>
      </c>
      <c r="E29" s="300"/>
      <c r="F29" s="300"/>
      <c r="G29" s="301"/>
      <c r="H29" s="302"/>
      <c r="I29" s="302"/>
      <c r="J29" s="253" t="s">
        <v>311</v>
      </c>
      <c r="K29" s="291">
        <v>5180061.5999999996</v>
      </c>
      <c r="L29" s="291">
        <v>11919199.84</v>
      </c>
      <c r="M29" s="267">
        <v>0.85</v>
      </c>
      <c r="N29" s="319"/>
      <c r="O29" s="319"/>
      <c r="P29" s="319"/>
      <c r="Q29" s="319"/>
      <c r="R29" s="319"/>
      <c r="S29" s="319"/>
    </row>
    <row r="30" spans="1:19" s="332" customFormat="1" ht="338.25" customHeight="1" x14ac:dyDescent="0.25">
      <c r="A30" s="268" t="s">
        <v>493</v>
      </c>
      <c r="B30" s="360" t="s">
        <v>323</v>
      </c>
      <c r="C30" s="372">
        <f>'Подробно разпределение '!P12</f>
        <v>292.53999999999996</v>
      </c>
      <c r="D30" s="372">
        <f>'Подробно разпределение '!AD12</f>
        <v>292.53999999999996</v>
      </c>
      <c r="E30" s="362" t="s">
        <v>473</v>
      </c>
      <c r="F30" s="362" t="s">
        <v>474</v>
      </c>
      <c r="G30" s="364" t="s">
        <v>344</v>
      </c>
      <c r="H30" s="362" t="s">
        <v>376</v>
      </c>
      <c r="I30" s="362" t="s">
        <v>377</v>
      </c>
      <c r="J30" s="252">
        <v>180</v>
      </c>
      <c r="K30" s="292">
        <v>15821563.869999999</v>
      </c>
      <c r="L30" s="292">
        <v>37486452.939999998</v>
      </c>
      <c r="M30" s="266"/>
      <c r="N30" s="365">
        <v>27</v>
      </c>
      <c r="O30" s="365">
        <v>46</v>
      </c>
      <c r="P30" s="365">
        <v>46</v>
      </c>
      <c r="Q30" s="365">
        <v>46</v>
      </c>
      <c r="R30" s="365">
        <v>0</v>
      </c>
      <c r="S30" s="365">
        <v>65</v>
      </c>
    </row>
    <row r="31" spans="1:19" s="332" customFormat="1" x14ac:dyDescent="0.25">
      <c r="A31" s="373"/>
      <c r="B31" s="374" t="s">
        <v>323</v>
      </c>
      <c r="C31" s="375">
        <f>ROUND(C30/6,0)</f>
        <v>49</v>
      </c>
      <c r="D31" s="375">
        <f>ROUND(D30/6,0)</f>
        <v>49</v>
      </c>
      <c r="E31" s="376"/>
      <c r="F31" s="376"/>
      <c r="G31" s="377"/>
      <c r="H31" s="378"/>
      <c r="I31" s="378"/>
      <c r="J31" s="253" t="s">
        <v>313</v>
      </c>
      <c r="K31" s="290">
        <v>2193227.56</v>
      </c>
      <c r="L31" s="290">
        <v>6127971.8099999987</v>
      </c>
      <c r="M31" s="267">
        <v>0.7</v>
      </c>
      <c r="N31" s="365"/>
      <c r="O31" s="365"/>
      <c r="P31" s="365"/>
      <c r="Q31" s="365"/>
      <c r="R31" s="365"/>
      <c r="S31" s="365"/>
    </row>
    <row r="32" spans="1:19" s="332" customFormat="1" ht="36" x14ac:dyDescent="0.25">
      <c r="A32" s="373"/>
      <c r="B32" s="374" t="s">
        <v>323</v>
      </c>
      <c r="C32" s="375">
        <f>C30-C31</f>
        <v>243.53999999999996</v>
      </c>
      <c r="D32" s="375">
        <f>D30-D31</f>
        <v>243.53999999999996</v>
      </c>
      <c r="E32" s="376"/>
      <c r="F32" s="376"/>
      <c r="G32" s="377"/>
      <c r="H32" s="378"/>
      <c r="I32" s="378"/>
      <c r="J32" s="253" t="s">
        <v>311</v>
      </c>
      <c r="K32" s="290">
        <v>13628336.309999999</v>
      </c>
      <c r="L32" s="290">
        <v>31358481.129999999</v>
      </c>
      <c r="M32" s="267">
        <v>0.85</v>
      </c>
      <c r="N32" s="365"/>
      <c r="O32" s="365"/>
      <c r="P32" s="365"/>
      <c r="Q32" s="365"/>
      <c r="R32" s="365"/>
      <c r="S32" s="365"/>
    </row>
    <row r="33" spans="1:19" s="332" customFormat="1" ht="206.25" customHeight="1" x14ac:dyDescent="0.25">
      <c r="A33" s="366" t="s">
        <v>475</v>
      </c>
      <c r="B33" s="360" t="s">
        <v>323</v>
      </c>
      <c r="C33" s="361">
        <f>'Подробно разпределение '!P13</f>
        <v>35</v>
      </c>
      <c r="D33" s="361">
        <f>'Подробно разпределение '!AD13</f>
        <v>94</v>
      </c>
      <c r="E33" s="362" t="s">
        <v>476</v>
      </c>
      <c r="F33" s="362" t="s">
        <v>477</v>
      </c>
      <c r="G33" s="364" t="s">
        <v>320</v>
      </c>
      <c r="H33" s="362" t="s">
        <v>478</v>
      </c>
      <c r="I33" s="362" t="s">
        <v>436</v>
      </c>
      <c r="J33" s="252">
        <v>182</v>
      </c>
      <c r="K33" s="292">
        <v>3960945.3400000003</v>
      </c>
      <c r="L33" s="292">
        <v>9384773.3399999999</v>
      </c>
      <c r="M33" s="266"/>
      <c r="N33" s="365">
        <v>3</v>
      </c>
      <c r="O33" s="365">
        <v>8</v>
      </c>
      <c r="P33" s="365">
        <v>8</v>
      </c>
      <c r="Q33" s="365">
        <v>8</v>
      </c>
      <c r="R33" s="365">
        <v>8</v>
      </c>
      <c r="S33" s="365"/>
    </row>
    <row r="34" spans="1:19" x14ac:dyDescent="0.25">
      <c r="A34" s="299"/>
      <c r="B34" s="287" t="s">
        <v>323</v>
      </c>
      <c r="C34" s="284">
        <f>ROUND(C33/6,0)</f>
        <v>6</v>
      </c>
      <c r="D34" s="284">
        <f>ROUND(D33/6,0)</f>
        <v>16</v>
      </c>
      <c r="E34" s="300"/>
      <c r="F34" s="300"/>
      <c r="G34" s="301"/>
      <c r="H34" s="302"/>
      <c r="I34" s="302"/>
      <c r="J34" s="253" t="s">
        <v>313</v>
      </c>
      <c r="K34" s="291">
        <v>549076.85</v>
      </c>
      <c r="L34" s="291">
        <v>1534144.2599999998</v>
      </c>
      <c r="M34" s="267">
        <v>0.7</v>
      </c>
      <c r="N34" s="319"/>
      <c r="O34" s="319"/>
      <c r="P34" s="319"/>
      <c r="Q34" s="319"/>
      <c r="R34" s="319"/>
      <c r="S34" s="319"/>
    </row>
    <row r="35" spans="1:19" ht="36" x14ac:dyDescent="0.25">
      <c r="A35" s="299"/>
      <c r="B35" s="287" t="s">
        <v>323</v>
      </c>
      <c r="C35" s="284">
        <f>C33-C34</f>
        <v>29</v>
      </c>
      <c r="D35" s="284">
        <f>D33-D34</f>
        <v>78</v>
      </c>
      <c r="E35" s="300"/>
      <c r="F35" s="300"/>
      <c r="G35" s="301"/>
      <c r="H35" s="302"/>
      <c r="I35" s="302"/>
      <c r="J35" s="253" t="s">
        <v>311</v>
      </c>
      <c r="K35" s="291">
        <v>3411868.49</v>
      </c>
      <c r="L35" s="291">
        <v>7850629.0800000001</v>
      </c>
      <c r="M35" s="267">
        <v>0.85</v>
      </c>
      <c r="N35" s="319"/>
      <c r="O35" s="319"/>
      <c r="P35" s="319"/>
      <c r="Q35" s="319"/>
      <c r="R35" s="319"/>
      <c r="S35" s="319"/>
    </row>
    <row r="36" spans="1:19" s="332" customFormat="1" ht="206.25" customHeight="1" x14ac:dyDescent="0.25">
      <c r="A36" s="366" t="s">
        <v>490</v>
      </c>
      <c r="B36" s="360" t="s">
        <v>323</v>
      </c>
      <c r="C36" s="361">
        <f>'Подробно разпределение '!P14</f>
        <v>10579.463000000003</v>
      </c>
      <c r="D36" s="361">
        <f>'Подробно разпределение '!AD14</f>
        <v>19517.543333333335</v>
      </c>
      <c r="E36" s="362" t="s">
        <v>479</v>
      </c>
      <c r="F36" s="362" t="s">
        <v>480</v>
      </c>
      <c r="G36" s="364" t="s">
        <v>320</v>
      </c>
      <c r="H36" s="362" t="s">
        <v>416</v>
      </c>
      <c r="I36" s="362" t="s">
        <v>415</v>
      </c>
      <c r="J36" s="252">
        <v>182</v>
      </c>
      <c r="K36" s="292">
        <v>6204150.79</v>
      </c>
      <c r="L36" s="292">
        <v>14699659.810000001</v>
      </c>
      <c r="M36" s="266"/>
      <c r="N36" s="365">
        <v>3</v>
      </c>
      <c r="O36" s="365">
        <v>8</v>
      </c>
      <c r="P36" s="365">
        <v>8</v>
      </c>
      <c r="Q36" s="365">
        <v>8</v>
      </c>
      <c r="R36" s="365">
        <v>8</v>
      </c>
      <c r="S36" s="365"/>
    </row>
    <row r="37" spans="1:19" x14ac:dyDescent="0.25">
      <c r="A37" s="299"/>
      <c r="B37" s="287" t="s">
        <v>323</v>
      </c>
      <c r="C37" s="284">
        <f>ROUND(C36/6,0)</f>
        <v>1763</v>
      </c>
      <c r="D37" s="284">
        <f>ROUND(D36/6,0)</f>
        <v>3253</v>
      </c>
      <c r="E37" s="300"/>
      <c r="F37" s="300"/>
      <c r="G37" s="301"/>
      <c r="H37" s="302"/>
      <c r="I37" s="302"/>
      <c r="J37" s="253" t="s">
        <v>313</v>
      </c>
      <c r="K37" s="291">
        <v>860036</v>
      </c>
      <c r="L37" s="291">
        <v>2402977.4500000011</v>
      </c>
      <c r="M37" s="267">
        <v>0.7</v>
      </c>
      <c r="N37" s="319"/>
      <c r="O37" s="319"/>
      <c r="P37" s="319"/>
      <c r="Q37" s="319"/>
      <c r="R37" s="319"/>
      <c r="S37" s="319"/>
    </row>
    <row r="38" spans="1:19" ht="36" x14ac:dyDescent="0.25">
      <c r="A38" s="299"/>
      <c r="B38" s="287" t="s">
        <v>323</v>
      </c>
      <c r="C38" s="284">
        <f>C36-C37</f>
        <v>8816.4630000000034</v>
      </c>
      <c r="D38" s="284">
        <f>D36-D37</f>
        <v>16264.543333333335</v>
      </c>
      <c r="E38" s="300"/>
      <c r="F38" s="300"/>
      <c r="G38" s="301"/>
      <c r="H38" s="302"/>
      <c r="I38" s="302"/>
      <c r="J38" s="253" t="s">
        <v>311</v>
      </c>
      <c r="K38" s="291">
        <v>5344114.79</v>
      </c>
      <c r="L38" s="291">
        <v>12296682.359999999</v>
      </c>
      <c r="M38" s="267">
        <v>0.85</v>
      </c>
      <c r="N38" s="319"/>
      <c r="O38" s="319"/>
      <c r="P38" s="319"/>
      <c r="Q38" s="319"/>
      <c r="R38" s="319"/>
      <c r="S38" s="319"/>
    </row>
    <row r="39" spans="1:19" ht="195" customHeight="1" x14ac:dyDescent="0.25">
      <c r="A39" s="268" t="s">
        <v>489</v>
      </c>
      <c r="B39" s="259" t="s">
        <v>318</v>
      </c>
      <c r="C39" s="260">
        <f>'Подробно разпределение '!P15</f>
        <v>70</v>
      </c>
      <c r="D39" s="260">
        <f>'Подробно разпределение '!AD15</f>
        <v>80</v>
      </c>
      <c r="E39" s="234" t="s">
        <v>378</v>
      </c>
      <c r="F39" s="236" t="s">
        <v>426</v>
      </c>
      <c r="G39" s="261" t="s">
        <v>320</v>
      </c>
      <c r="H39" s="234" t="s">
        <v>379</v>
      </c>
      <c r="I39" s="234" t="s">
        <v>380</v>
      </c>
      <c r="J39" s="252">
        <v>182</v>
      </c>
      <c r="K39" s="292">
        <v>4013846.7399999998</v>
      </c>
      <c r="L39" s="292">
        <v>9510114.0299999993</v>
      </c>
      <c r="M39" s="266"/>
      <c r="N39" s="319">
        <v>3</v>
      </c>
      <c r="O39" s="319">
        <v>8</v>
      </c>
      <c r="P39" s="319">
        <v>8</v>
      </c>
      <c r="Q39" s="319">
        <v>8</v>
      </c>
      <c r="R39" s="319">
        <v>8</v>
      </c>
      <c r="S39" s="319"/>
    </row>
    <row r="40" spans="1:19" x14ac:dyDescent="0.25">
      <c r="A40" s="299"/>
      <c r="B40" s="288" t="s">
        <v>318</v>
      </c>
      <c r="C40" s="284">
        <v>70</v>
      </c>
      <c r="D40" s="284">
        <v>80</v>
      </c>
      <c r="E40" s="300"/>
      <c r="F40" s="300"/>
      <c r="G40" s="301"/>
      <c r="H40" s="302"/>
      <c r="I40" s="302"/>
      <c r="J40" s="253" t="s">
        <v>313</v>
      </c>
      <c r="K40" s="291">
        <v>556410.18999999994</v>
      </c>
      <c r="L40" s="291">
        <v>1554633.9099999992</v>
      </c>
      <c r="M40" s="267">
        <v>0.7</v>
      </c>
      <c r="N40" s="319"/>
      <c r="O40" s="319"/>
      <c r="P40" s="319"/>
      <c r="Q40" s="319"/>
      <c r="R40" s="319"/>
      <c r="S40" s="319"/>
    </row>
    <row r="41" spans="1:19" ht="36" x14ac:dyDescent="0.25">
      <c r="A41" s="299"/>
      <c r="B41" s="288" t="s">
        <v>318</v>
      </c>
      <c r="C41" s="284">
        <v>70</v>
      </c>
      <c r="D41" s="284">
        <v>80</v>
      </c>
      <c r="E41" s="300"/>
      <c r="F41" s="300"/>
      <c r="G41" s="301"/>
      <c r="H41" s="302"/>
      <c r="I41" s="302"/>
      <c r="J41" s="253" t="s">
        <v>311</v>
      </c>
      <c r="K41" s="291">
        <v>3457436.55</v>
      </c>
      <c r="L41" s="291">
        <v>7955480.1200000001</v>
      </c>
      <c r="M41" s="267">
        <v>0.85</v>
      </c>
      <c r="N41" s="319"/>
      <c r="O41" s="319"/>
      <c r="P41" s="319"/>
      <c r="Q41" s="319"/>
      <c r="R41" s="319"/>
      <c r="S41" s="319"/>
    </row>
    <row r="42" spans="1:19" s="332" customFormat="1" ht="117" customHeight="1" x14ac:dyDescent="0.25">
      <c r="A42" s="366" t="s">
        <v>403</v>
      </c>
      <c r="B42" s="364" t="s">
        <v>323</v>
      </c>
      <c r="C42" s="370">
        <f>'Подробно разпределение '!P16</f>
        <v>45</v>
      </c>
      <c r="D42" s="370">
        <f>'Подробно разпределение '!AD16</f>
        <v>160</v>
      </c>
      <c r="E42" s="362" t="s">
        <v>405</v>
      </c>
      <c r="F42" s="371" t="s">
        <v>427</v>
      </c>
      <c r="G42" s="364" t="s">
        <v>333</v>
      </c>
      <c r="H42" s="371" t="s">
        <v>406</v>
      </c>
      <c r="I42" s="362" t="s">
        <v>411</v>
      </c>
      <c r="J42" s="252">
        <v>182</v>
      </c>
      <c r="K42" s="292">
        <v>3788540.4599999995</v>
      </c>
      <c r="L42" s="292">
        <v>8976289.8800000008</v>
      </c>
      <c r="M42" s="266"/>
      <c r="N42" s="365"/>
      <c r="O42" s="365"/>
      <c r="P42" s="365"/>
      <c r="Q42" s="365"/>
      <c r="R42" s="365"/>
      <c r="S42" s="365">
        <v>5</v>
      </c>
    </row>
    <row r="43" spans="1:19" s="332" customFormat="1" x14ac:dyDescent="0.25">
      <c r="A43" s="374"/>
      <c r="B43" s="374" t="s">
        <v>323</v>
      </c>
      <c r="C43" s="375">
        <f>ROUND(C42/6,0)</f>
        <v>8</v>
      </c>
      <c r="D43" s="375">
        <f>ROUND(D42/6,0)</f>
        <v>27</v>
      </c>
      <c r="E43" s="376"/>
      <c r="F43" s="376"/>
      <c r="G43" s="377"/>
      <c r="H43" s="378"/>
      <c r="I43" s="378"/>
      <c r="J43" s="253" t="s">
        <v>313</v>
      </c>
      <c r="K43" s="290">
        <v>525177.63</v>
      </c>
      <c r="L43" s="290">
        <v>1467368.8000000007</v>
      </c>
      <c r="M43" s="267">
        <v>0.7</v>
      </c>
      <c r="N43" s="365"/>
      <c r="O43" s="365"/>
      <c r="P43" s="365"/>
      <c r="Q43" s="365"/>
      <c r="R43" s="365"/>
      <c r="S43" s="365"/>
    </row>
    <row r="44" spans="1:19" s="332" customFormat="1" ht="36" x14ac:dyDescent="0.25">
      <c r="A44" s="374"/>
      <c r="B44" s="374" t="s">
        <v>323</v>
      </c>
      <c r="C44" s="375">
        <f>C42-C43</f>
        <v>37</v>
      </c>
      <c r="D44" s="375">
        <f>D42-D43</f>
        <v>133</v>
      </c>
      <c r="E44" s="376"/>
      <c r="F44" s="376"/>
      <c r="G44" s="377"/>
      <c r="H44" s="378"/>
      <c r="I44" s="378"/>
      <c r="J44" s="253" t="s">
        <v>311</v>
      </c>
      <c r="K44" s="290">
        <v>3263362.8299999996</v>
      </c>
      <c r="L44" s="290">
        <v>7508921.0800000001</v>
      </c>
      <c r="M44" s="267">
        <v>0.85</v>
      </c>
      <c r="N44" s="365"/>
      <c r="O44" s="365"/>
      <c r="P44" s="365"/>
      <c r="Q44" s="365"/>
      <c r="R44" s="365"/>
      <c r="S44" s="365"/>
    </row>
    <row r="45" spans="1:19" s="332" customFormat="1" ht="138" customHeight="1" x14ac:dyDescent="0.25">
      <c r="A45" s="366" t="s">
        <v>404</v>
      </c>
      <c r="B45" s="364" t="s">
        <v>323</v>
      </c>
      <c r="C45" s="370">
        <f>'Подробно разпределение '!P17</f>
        <v>10</v>
      </c>
      <c r="D45" s="370">
        <f>'Подробно разпределение '!AD17</f>
        <v>60</v>
      </c>
      <c r="E45" s="362" t="s">
        <v>407</v>
      </c>
      <c r="F45" s="371" t="s">
        <v>428</v>
      </c>
      <c r="G45" s="364" t="s">
        <v>333</v>
      </c>
      <c r="H45" s="371" t="s">
        <v>481</v>
      </c>
      <c r="I45" s="362" t="s">
        <v>408</v>
      </c>
      <c r="J45" s="252">
        <v>182</v>
      </c>
      <c r="K45" s="292">
        <v>3056968.34</v>
      </c>
      <c r="L45" s="292">
        <v>7242956.54</v>
      </c>
      <c r="M45" s="266"/>
      <c r="N45" s="365"/>
      <c r="O45" s="365"/>
      <c r="P45" s="365"/>
      <c r="Q45" s="365"/>
      <c r="R45" s="365"/>
      <c r="S45" s="365">
        <v>5</v>
      </c>
    </row>
    <row r="46" spans="1:19" s="332" customFormat="1" x14ac:dyDescent="0.25">
      <c r="A46" s="374"/>
      <c r="B46" s="374" t="s">
        <v>323</v>
      </c>
      <c r="C46" s="375">
        <f>ROUND(C45/6,0)</f>
        <v>2</v>
      </c>
      <c r="D46" s="375">
        <f>ROUND(D45/6,0)</f>
        <v>10</v>
      </c>
      <c r="E46" s="376"/>
      <c r="F46" s="376"/>
      <c r="G46" s="377"/>
      <c r="H46" s="378"/>
      <c r="I46" s="378"/>
      <c r="J46" s="253" t="s">
        <v>313</v>
      </c>
      <c r="K46" s="290">
        <v>423765.14</v>
      </c>
      <c r="L46" s="290">
        <v>1184017.96</v>
      </c>
      <c r="M46" s="267">
        <v>0.7</v>
      </c>
      <c r="N46" s="365"/>
      <c r="O46" s="365"/>
      <c r="P46" s="365"/>
      <c r="Q46" s="365"/>
      <c r="R46" s="365"/>
      <c r="S46" s="365"/>
    </row>
    <row r="47" spans="1:19" s="332" customFormat="1" ht="36" x14ac:dyDescent="0.25">
      <c r="A47" s="374"/>
      <c r="B47" s="374" t="s">
        <v>323</v>
      </c>
      <c r="C47" s="375">
        <f>C45-C46</f>
        <v>8</v>
      </c>
      <c r="D47" s="375">
        <f>D45-D46</f>
        <v>50</v>
      </c>
      <c r="E47" s="376"/>
      <c r="F47" s="376"/>
      <c r="G47" s="377"/>
      <c r="H47" s="378"/>
      <c r="I47" s="378"/>
      <c r="J47" s="253" t="s">
        <v>311</v>
      </c>
      <c r="K47" s="290">
        <v>2633203.1999999997</v>
      </c>
      <c r="L47" s="290">
        <v>6058938.5800000001</v>
      </c>
      <c r="M47" s="267">
        <v>0.85</v>
      </c>
      <c r="N47" s="365"/>
      <c r="O47" s="365"/>
      <c r="P47" s="365"/>
      <c r="Q47" s="365"/>
      <c r="R47" s="365"/>
      <c r="S47" s="365"/>
    </row>
    <row r="48" spans="1:19" s="332" customFormat="1" ht="208.5" customHeight="1" x14ac:dyDescent="0.25">
      <c r="A48" s="366" t="s">
        <v>482</v>
      </c>
      <c r="B48" s="364" t="s">
        <v>323</v>
      </c>
      <c r="C48" s="379">
        <f>'Подробно разпределение '!P18</f>
        <v>0</v>
      </c>
      <c r="D48" s="379">
        <f>'Подробно разпределение '!AD18</f>
        <v>240</v>
      </c>
      <c r="E48" s="362" t="s">
        <v>438</v>
      </c>
      <c r="F48" s="371" t="s">
        <v>429</v>
      </c>
      <c r="G48" s="364" t="s">
        <v>353</v>
      </c>
      <c r="H48" s="371" t="s">
        <v>483</v>
      </c>
      <c r="I48" s="362" t="s">
        <v>381</v>
      </c>
      <c r="J48" s="252">
        <v>181</v>
      </c>
      <c r="K48" s="292">
        <v>5458581.6200000001</v>
      </c>
      <c r="L48" s="292">
        <v>12933162.9</v>
      </c>
      <c r="M48" s="266"/>
      <c r="N48" s="365"/>
      <c r="O48" s="365"/>
      <c r="P48" s="365"/>
      <c r="Q48" s="365"/>
      <c r="R48" s="365"/>
      <c r="S48" s="365">
        <v>10</v>
      </c>
    </row>
    <row r="49" spans="1:19" x14ac:dyDescent="0.25">
      <c r="A49" s="287"/>
      <c r="B49" s="287" t="s">
        <v>323</v>
      </c>
      <c r="C49" s="284">
        <f>ROUND(C48/6,0)</f>
        <v>0</v>
      </c>
      <c r="D49" s="284">
        <f>ROUND(D48/6,0)</f>
        <v>40</v>
      </c>
      <c r="E49" s="300"/>
      <c r="F49" s="300"/>
      <c r="G49" s="301"/>
      <c r="H49" s="302"/>
      <c r="I49" s="302"/>
      <c r="J49" s="253" t="s">
        <v>313</v>
      </c>
      <c r="K49" s="290">
        <v>756683.21</v>
      </c>
      <c r="L49" s="290">
        <v>2114205.3100000005</v>
      </c>
      <c r="M49" s="267">
        <v>0.7</v>
      </c>
      <c r="N49" s="319"/>
      <c r="O49" s="319"/>
      <c r="P49" s="319"/>
      <c r="Q49" s="319"/>
      <c r="R49" s="319"/>
      <c r="S49" s="319"/>
    </row>
    <row r="50" spans="1:19" ht="36" x14ac:dyDescent="0.25">
      <c r="A50" s="287"/>
      <c r="B50" s="287" t="s">
        <v>323</v>
      </c>
      <c r="C50" s="284">
        <f>C48-C49</f>
        <v>0</v>
      </c>
      <c r="D50" s="284">
        <f>D48-D49</f>
        <v>200</v>
      </c>
      <c r="E50" s="300"/>
      <c r="F50" s="300"/>
      <c r="G50" s="301"/>
      <c r="H50" s="302"/>
      <c r="I50" s="302"/>
      <c r="J50" s="253" t="s">
        <v>311</v>
      </c>
      <c r="K50" s="290">
        <v>4701898.41</v>
      </c>
      <c r="L50" s="290">
        <v>10818957.59</v>
      </c>
      <c r="M50" s="267">
        <v>0.85</v>
      </c>
      <c r="N50" s="319"/>
      <c r="O50" s="319"/>
      <c r="P50" s="319"/>
      <c r="Q50" s="319"/>
      <c r="R50" s="319"/>
      <c r="S50" s="319"/>
    </row>
    <row r="51" spans="1:19" s="332" customFormat="1" ht="148.5" customHeight="1" x14ac:dyDescent="0.25">
      <c r="A51" s="366" t="s">
        <v>371</v>
      </c>
      <c r="B51" s="364" t="s">
        <v>323</v>
      </c>
      <c r="C51" s="379">
        <f>'Подробно разпределение '!P19</f>
        <v>0</v>
      </c>
      <c r="D51" s="379">
        <f>'Подробно разпределение '!AD19</f>
        <v>140</v>
      </c>
      <c r="E51" s="362" t="s">
        <v>382</v>
      </c>
      <c r="F51" s="371" t="s">
        <v>430</v>
      </c>
      <c r="G51" s="364" t="s">
        <v>353</v>
      </c>
      <c r="H51" s="380" t="s">
        <v>484</v>
      </c>
      <c r="I51" s="362" t="s">
        <v>432</v>
      </c>
      <c r="J51" s="252">
        <v>179</v>
      </c>
      <c r="K51" s="237">
        <v>3348277.41</v>
      </c>
      <c r="L51" s="237">
        <v>7933162.9000000004</v>
      </c>
      <c r="M51" s="266"/>
      <c r="N51" s="365"/>
      <c r="O51" s="365"/>
      <c r="P51" s="365"/>
      <c r="Q51" s="365"/>
      <c r="R51" s="365"/>
      <c r="S51" s="365">
        <v>10</v>
      </c>
    </row>
    <row r="52" spans="1:19" x14ac:dyDescent="0.25">
      <c r="A52" s="299"/>
      <c r="B52" s="287" t="s">
        <v>323</v>
      </c>
      <c r="C52" s="284">
        <f>ROUND(C51/6,0)</f>
        <v>0</v>
      </c>
      <c r="D52" s="284">
        <f>ROUND(D51/6,0)</f>
        <v>23</v>
      </c>
      <c r="E52" s="300"/>
      <c r="F52" s="300"/>
      <c r="G52" s="301"/>
      <c r="H52" s="302"/>
      <c r="I52" s="304"/>
      <c r="J52" s="253" t="s">
        <v>313</v>
      </c>
      <c r="K52" s="290">
        <v>464147.17</v>
      </c>
      <c r="L52" s="290">
        <v>1296847.1200000001</v>
      </c>
      <c r="M52" s="267">
        <v>0.7</v>
      </c>
      <c r="N52" s="319"/>
      <c r="O52" s="319"/>
      <c r="P52" s="319"/>
      <c r="Q52" s="319"/>
      <c r="R52" s="319"/>
      <c r="S52" s="319"/>
    </row>
    <row r="53" spans="1:19" ht="36" x14ac:dyDescent="0.25">
      <c r="A53" s="299"/>
      <c r="B53" s="287" t="s">
        <v>323</v>
      </c>
      <c r="C53" s="284">
        <f>C51-C52</f>
        <v>0</v>
      </c>
      <c r="D53" s="284">
        <f>D51-D52</f>
        <v>117</v>
      </c>
      <c r="E53" s="300"/>
      <c r="F53" s="300"/>
      <c r="G53" s="301"/>
      <c r="H53" s="302"/>
      <c r="I53" s="304"/>
      <c r="J53" s="253" t="s">
        <v>311</v>
      </c>
      <c r="K53" s="290">
        <v>2884130.24</v>
      </c>
      <c r="L53" s="290">
        <v>6636315.7800000003</v>
      </c>
      <c r="M53" s="267">
        <v>0.85</v>
      </c>
      <c r="N53" s="319"/>
      <c r="O53" s="319"/>
      <c r="P53" s="319"/>
      <c r="Q53" s="319"/>
      <c r="R53" s="319"/>
      <c r="S53" s="319"/>
    </row>
    <row r="54" spans="1:19" s="332" customFormat="1" ht="134.25" customHeight="1" x14ac:dyDescent="0.25">
      <c r="A54" s="366" t="s">
        <v>418</v>
      </c>
      <c r="B54" s="364" t="s">
        <v>323</v>
      </c>
      <c r="C54" s="379">
        <f>'Подробно разпределение '!P20</f>
        <v>0</v>
      </c>
      <c r="D54" s="379">
        <f>'Подробно разпределение '!AD20</f>
        <v>8</v>
      </c>
      <c r="E54" s="362" t="s">
        <v>439</v>
      </c>
      <c r="F54" s="371" t="s">
        <v>450</v>
      </c>
      <c r="G54" s="364" t="s">
        <v>353</v>
      </c>
      <c r="H54" s="380" t="s">
        <v>437</v>
      </c>
      <c r="I54" s="362" t="s">
        <v>432</v>
      </c>
      <c r="J54" s="252">
        <v>181</v>
      </c>
      <c r="K54" s="237">
        <v>759709.52</v>
      </c>
      <c r="L54" s="237">
        <v>1800000</v>
      </c>
      <c r="M54" s="266"/>
      <c r="N54" s="365"/>
      <c r="O54" s="365"/>
      <c r="P54" s="365"/>
      <c r="Q54" s="365"/>
      <c r="R54" s="365"/>
      <c r="S54" s="365"/>
    </row>
    <row r="55" spans="1:19" x14ac:dyDescent="0.25">
      <c r="A55" s="299"/>
      <c r="B55" s="287" t="s">
        <v>323</v>
      </c>
      <c r="C55" s="284">
        <f>ROUND(C54/6,0)</f>
        <v>0</v>
      </c>
      <c r="D55" s="284">
        <f>ROUND(D54/6,0)</f>
        <v>1</v>
      </c>
      <c r="E55" s="300"/>
      <c r="F55" s="300"/>
      <c r="G55" s="301"/>
      <c r="H55" s="302"/>
      <c r="I55" s="304"/>
      <c r="J55" s="253" t="s">
        <v>313</v>
      </c>
      <c r="K55" s="290">
        <v>105312.96000000001</v>
      </c>
      <c r="L55" s="290">
        <v>294248.94999999995</v>
      </c>
      <c r="M55" s="267">
        <v>0.7</v>
      </c>
      <c r="N55" s="319"/>
      <c r="O55" s="319"/>
      <c r="P55" s="319"/>
      <c r="Q55" s="319"/>
      <c r="R55" s="319"/>
      <c r="S55" s="319"/>
    </row>
    <row r="56" spans="1:19" ht="36" x14ac:dyDescent="0.25">
      <c r="A56" s="299"/>
      <c r="B56" s="287" t="s">
        <v>323</v>
      </c>
      <c r="C56" s="284">
        <f>C54-C55</f>
        <v>0</v>
      </c>
      <c r="D56" s="284">
        <f>D54-D55</f>
        <v>7</v>
      </c>
      <c r="E56" s="300"/>
      <c r="F56" s="300"/>
      <c r="G56" s="301"/>
      <c r="H56" s="302"/>
      <c r="I56" s="304"/>
      <c r="J56" s="253" t="s">
        <v>311</v>
      </c>
      <c r="K56" s="290">
        <v>654396.56000000006</v>
      </c>
      <c r="L56" s="290">
        <v>1505751.05</v>
      </c>
      <c r="M56" s="267">
        <v>0.85</v>
      </c>
      <c r="N56" s="319"/>
      <c r="O56" s="319"/>
      <c r="P56" s="319"/>
      <c r="Q56" s="319"/>
      <c r="R56" s="319"/>
      <c r="S56" s="319"/>
    </row>
    <row r="57" spans="1:19" s="381" customFormat="1" ht="264" x14ac:dyDescent="0.25">
      <c r="A57" s="359" t="s">
        <v>485</v>
      </c>
      <c r="B57" s="360" t="s">
        <v>323</v>
      </c>
      <c r="C57" s="370">
        <f>'Подробно разпределение '!P21</f>
        <v>334</v>
      </c>
      <c r="D57" s="370">
        <f>'Подробно разпределение '!AD21</f>
        <v>2348</v>
      </c>
      <c r="E57" s="362" t="s">
        <v>487</v>
      </c>
      <c r="F57" s="362" t="s">
        <v>447</v>
      </c>
      <c r="G57" s="364" t="s">
        <v>359</v>
      </c>
      <c r="H57" s="362" t="s">
        <v>486</v>
      </c>
      <c r="I57" s="362" t="s">
        <v>383</v>
      </c>
      <c r="J57" s="252">
        <v>179</v>
      </c>
      <c r="K57" s="237">
        <v>4720311.67</v>
      </c>
      <c r="L57" s="237">
        <v>11183960.23</v>
      </c>
      <c r="M57" s="266"/>
      <c r="N57" s="365">
        <v>5</v>
      </c>
      <c r="O57" s="365"/>
      <c r="P57" s="365"/>
      <c r="Q57" s="365"/>
      <c r="R57" s="365"/>
      <c r="S57" s="365">
        <v>1.25</v>
      </c>
    </row>
    <row r="58" spans="1:19" s="335" customFormat="1" x14ac:dyDescent="0.25">
      <c r="A58" s="299"/>
      <c r="B58" s="287" t="s">
        <v>323</v>
      </c>
      <c r="C58" s="284">
        <f>ROUND(4*C57/27,0)</f>
        <v>49</v>
      </c>
      <c r="D58" s="284">
        <f>ROUND(4*D57/27,0)</f>
        <v>348</v>
      </c>
      <c r="E58" s="300"/>
      <c r="F58" s="300"/>
      <c r="G58" s="301"/>
      <c r="H58" s="302"/>
      <c r="I58" s="302"/>
      <c r="J58" s="340" t="s">
        <v>313</v>
      </c>
      <c r="K58" s="341">
        <v>654342.24</v>
      </c>
      <c r="L58" s="341">
        <v>1828260.2800000012</v>
      </c>
      <c r="M58" s="342">
        <v>0.7</v>
      </c>
      <c r="N58" s="343"/>
      <c r="O58" s="343"/>
      <c r="P58" s="343"/>
      <c r="Q58" s="343"/>
      <c r="R58" s="343"/>
      <c r="S58" s="343"/>
    </row>
    <row r="59" spans="1:19" s="335" customFormat="1" ht="24" customHeight="1" x14ac:dyDescent="0.25">
      <c r="A59" s="299"/>
      <c r="B59" s="287" t="s">
        <v>323</v>
      </c>
      <c r="C59" s="284">
        <f>C57-C58</f>
        <v>285</v>
      </c>
      <c r="D59" s="284">
        <f>D57-D58</f>
        <v>2000</v>
      </c>
      <c r="E59" s="300"/>
      <c r="F59" s="300"/>
      <c r="G59" s="301"/>
      <c r="H59" s="302"/>
      <c r="I59" s="302"/>
      <c r="J59" s="340" t="s">
        <v>311</v>
      </c>
      <c r="K59" s="341">
        <v>4065969.4299999997</v>
      </c>
      <c r="L59" s="341">
        <v>9355699.9499999993</v>
      </c>
      <c r="M59" s="342">
        <v>0.85</v>
      </c>
      <c r="N59" s="343"/>
      <c r="O59" s="343"/>
      <c r="P59" s="343"/>
      <c r="Q59" s="343"/>
      <c r="R59" s="343"/>
      <c r="S59" s="343"/>
    </row>
    <row r="60" spans="1:19" s="332" customFormat="1" ht="113.25" customHeight="1" x14ac:dyDescent="0.25">
      <c r="A60" s="359" t="s">
        <v>397</v>
      </c>
      <c r="B60" s="360" t="s">
        <v>323</v>
      </c>
      <c r="C60" s="370">
        <f>'Подробно разпределение '!P22</f>
        <v>1000000</v>
      </c>
      <c r="D60" s="370">
        <f>'Подробно разпределение '!AD22</f>
        <v>1000000</v>
      </c>
      <c r="E60" s="362" t="s">
        <v>398</v>
      </c>
      <c r="F60" s="363" t="s">
        <v>399</v>
      </c>
      <c r="G60" s="364" t="s">
        <v>359</v>
      </c>
      <c r="H60" s="362" t="s">
        <v>434</v>
      </c>
      <c r="I60" s="362" t="s">
        <v>383</v>
      </c>
      <c r="J60" s="252">
        <v>179</v>
      </c>
      <c r="K60" s="237">
        <v>4198693.72</v>
      </c>
      <c r="L60" s="237">
        <v>9948076.8900000006</v>
      </c>
      <c r="M60" s="266"/>
      <c r="N60" s="365">
        <v>5</v>
      </c>
      <c r="O60" s="365"/>
      <c r="P60" s="365"/>
      <c r="Q60" s="365"/>
      <c r="R60" s="365"/>
      <c r="S60" s="365">
        <v>1.25</v>
      </c>
    </row>
    <row r="61" spans="1:19" x14ac:dyDescent="0.25">
      <c r="A61" s="299"/>
      <c r="B61" s="287" t="s">
        <v>323</v>
      </c>
      <c r="C61" s="284">
        <f>ROUND(4*C60/27,0)</f>
        <v>148148</v>
      </c>
      <c r="D61" s="284">
        <f>ROUND(4*D60/27,0)</f>
        <v>148148</v>
      </c>
      <c r="E61" s="300"/>
      <c r="F61" s="300"/>
      <c r="G61" s="301"/>
      <c r="H61" s="302"/>
      <c r="I61" s="302"/>
      <c r="J61" s="252" t="s">
        <v>313</v>
      </c>
      <c r="K61" s="291">
        <v>582034.16</v>
      </c>
      <c r="L61" s="291">
        <v>1626228.4100000001</v>
      </c>
      <c r="M61" s="267">
        <v>0.7</v>
      </c>
      <c r="N61" s="319"/>
      <c r="O61" s="319"/>
      <c r="P61" s="319"/>
      <c r="Q61" s="319"/>
      <c r="R61" s="319"/>
      <c r="S61" s="319"/>
    </row>
    <row r="62" spans="1:19" ht="36" x14ac:dyDescent="0.25">
      <c r="A62" s="299"/>
      <c r="B62" s="287" t="s">
        <v>323</v>
      </c>
      <c r="C62" s="284">
        <f>C60-C61</f>
        <v>851852</v>
      </c>
      <c r="D62" s="284">
        <f>D60-D61</f>
        <v>851852</v>
      </c>
      <c r="E62" s="300"/>
      <c r="F62" s="300"/>
      <c r="G62" s="301"/>
      <c r="H62" s="302"/>
      <c r="I62" s="302"/>
      <c r="J62" s="252" t="s">
        <v>311</v>
      </c>
      <c r="K62" s="291">
        <v>3616659.5599999996</v>
      </c>
      <c r="L62" s="291">
        <v>8321848.4800000004</v>
      </c>
      <c r="M62" s="267">
        <v>0.85</v>
      </c>
      <c r="N62" s="319"/>
      <c r="O62" s="319"/>
      <c r="P62" s="319"/>
      <c r="Q62" s="319"/>
      <c r="R62" s="319"/>
      <c r="S62" s="319"/>
    </row>
    <row r="63" spans="1:19" ht="102.75" customHeight="1" x14ac:dyDescent="0.25">
      <c r="A63" s="283" t="s">
        <v>372</v>
      </c>
      <c r="B63" s="259" t="s">
        <v>323</v>
      </c>
      <c r="C63" s="282">
        <f>'Подробно разпределение '!P23</f>
        <v>2160000</v>
      </c>
      <c r="D63" s="282">
        <f>'Подробно разпределение '!AD23</f>
        <v>9072000</v>
      </c>
      <c r="E63" s="234" t="s">
        <v>384</v>
      </c>
      <c r="F63" s="236" t="s">
        <v>431</v>
      </c>
      <c r="G63" s="261" t="s">
        <v>359</v>
      </c>
      <c r="H63" s="234" t="s">
        <v>388</v>
      </c>
      <c r="I63" s="234" t="s">
        <v>385</v>
      </c>
      <c r="J63" s="252">
        <v>179</v>
      </c>
      <c r="K63" s="292">
        <v>4198693.72</v>
      </c>
      <c r="L63" s="292">
        <v>9948076.8900000006</v>
      </c>
      <c r="M63" s="266"/>
      <c r="N63" s="319">
        <v>5</v>
      </c>
      <c r="O63" s="319"/>
      <c r="P63" s="319"/>
      <c r="Q63" s="319"/>
      <c r="R63" s="319"/>
      <c r="S63" s="319">
        <v>1.25</v>
      </c>
    </row>
    <row r="64" spans="1:19" x14ac:dyDescent="0.25">
      <c r="A64" s="299"/>
      <c r="B64" s="287" t="s">
        <v>323</v>
      </c>
      <c r="C64" s="284">
        <f>ROUND(4*C63/27,0)</f>
        <v>320000</v>
      </c>
      <c r="D64" s="284">
        <f>ROUND(4*D63/27,0)</f>
        <v>1344000</v>
      </c>
      <c r="E64" s="300"/>
      <c r="F64" s="300"/>
      <c r="G64" s="301"/>
      <c r="H64" s="302"/>
      <c r="I64" s="302"/>
      <c r="J64" s="252" t="s">
        <v>313</v>
      </c>
      <c r="K64" s="291">
        <v>582034.16</v>
      </c>
      <c r="L64" s="291">
        <v>1626228.4100000001</v>
      </c>
      <c r="M64" s="267">
        <v>0.7</v>
      </c>
      <c r="N64" s="319"/>
      <c r="O64" s="319"/>
      <c r="P64" s="319"/>
      <c r="Q64" s="319"/>
      <c r="R64" s="319"/>
      <c r="S64" s="319"/>
    </row>
    <row r="65" spans="1:19" ht="36" x14ac:dyDescent="0.25">
      <c r="A65" s="299"/>
      <c r="B65" s="287" t="s">
        <v>323</v>
      </c>
      <c r="C65" s="284">
        <f>C63-C64</f>
        <v>1840000</v>
      </c>
      <c r="D65" s="284">
        <f>D63-D64</f>
        <v>7728000</v>
      </c>
      <c r="E65" s="300"/>
      <c r="F65" s="300"/>
      <c r="G65" s="301"/>
      <c r="H65" s="302"/>
      <c r="I65" s="302"/>
      <c r="J65" s="252" t="s">
        <v>311</v>
      </c>
      <c r="K65" s="291">
        <v>3616659.5599999996</v>
      </c>
      <c r="L65" s="291">
        <v>8321848.4800000004</v>
      </c>
      <c r="M65" s="267">
        <v>0.85</v>
      </c>
      <c r="N65" s="319"/>
      <c r="O65" s="319"/>
      <c r="P65" s="319"/>
      <c r="Q65" s="319"/>
      <c r="R65" s="319"/>
      <c r="S65" s="319"/>
    </row>
    <row r="66" spans="1:19" ht="108" customHeight="1" x14ac:dyDescent="0.25">
      <c r="A66" s="305" t="s">
        <v>402</v>
      </c>
      <c r="B66" s="306" t="s">
        <v>318</v>
      </c>
      <c r="C66" s="307">
        <f>'Подробно разпределение '!P24</f>
        <v>72</v>
      </c>
      <c r="D66" s="307">
        <f>'Подробно разпределение '!AD24</f>
        <v>72</v>
      </c>
      <c r="E66" s="276" t="s">
        <v>417</v>
      </c>
      <c r="F66" s="277" t="s">
        <v>386</v>
      </c>
      <c r="G66" s="261" t="s">
        <v>359</v>
      </c>
      <c r="H66" s="276" t="s">
        <v>387</v>
      </c>
      <c r="I66" s="276" t="s">
        <v>488</v>
      </c>
      <c r="J66" s="252">
        <v>179</v>
      </c>
      <c r="K66" s="293">
        <v>4198692.88</v>
      </c>
      <c r="L66" s="293">
        <v>9948076.8900000006</v>
      </c>
      <c r="M66" s="278"/>
      <c r="N66" s="319">
        <v>5</v>
      </c>
      <c r="O66" s="319"/>
      <c r="P66" s="319"/>
      <c r="Q66" s="319"/>
      <c r="R66" s="319"/>
      <c r="S66" s="319">
        <v>1.25</v>
      </c>
    </row>
    <row r="67" spans="1:19" x14ac:dyDescent="0.25">
      <c r="A67" s="308"/>
      <c r="B67" s="288" t="s">
        <v>318</v>
      </c>
      <c r="C67" s="286">
        <v>72</v>
      </c>
      <c r="D67" s="286">
        <v>72</v>
      </c>
      <c r="E67" s="309"/>
      <c r="F67" s="309"/>
      <c r="G67" s="310"/>
      <c r="H67" s="308"/>
      <c r="I67" s="308"/>
      <c r="J67" s="279" t="s">
        <v>313</v>
      </c>
      <c r="K67" s="294">
        <v>582034.16</v>
      </c>
      <c r="L67" s="294">
        <v>1626228.4100000001</v>
      </c>
      <c r="M67" s="280">
        <v>0.7</v>
      </c>
      <c r="N67" s="319"/>
      <c r="O67" s="319"/>
      <c r="P67" s="319"/>
      <c r="Q67" s="319"/>
      <c r="R67" s="319"/>
      <c r="S67" s="319"/>
    </row>
    <row r="68" spans="1:19" ht="16.5" customHeight="1" x14ac:dyDescent="0.25">
      <c r="A68" s="308"/>
      <c r="B68" s="288" t="s">
        <v>318</v>
      </c>
      <c r="C68" s="286">
        <v>72</v>
      </c>
      <c r="D68" s="286">
        <v>72</v>
      </c>
      <c r="E68" s="309"/>
      <c r="F68" s="309"/>
      <c r="G68" s="310"/>
      <c r="H68" s="308"/>
      <c r="I68" s="308"/>
      <c r="J68" s="279" t="s">
        <v>311</v>
      </c>
      <c r="K68" s="294">
        <v>3616658.72</v>
      </c>
      <c r="L68" s="294">
        <v>8321848.4800000004</v>
      </c>
      <c r="M68" s="280">
        <v>0.85</v>
      </c>
      <c r="N68" s="320"/>
      <c r="O68" s="320"/>
      <c r="P68" s="320"/>
      <c r="Q68" s="320"/>
      <c r="R68" s="320"/>
      <c r="S68" s="320"/>
    </row>
    <row r="69" spans="1:19" x14ac:dyDescent="0.2">
      <c r="N69" s="384">
        <f>SUM(N3:N68)</f>
        <v>100</v>
      </c>
      <c r="O69" s="384">
        <f t="shared" ref="O69:S69" si="0">SUM(O3:O68)</f>
        <v>100</v>
      </c>
      <c r="P69" s="384">
        <f t="shared" si="0"/>
        <v>100</v>
      </c>
      <c r="Q69" s="384">
        <f t="shared" si="0"/>
        <v>100</v>
      </c>
      <c r="R69" s="384">
        <f t="shared" si="0"/>
        <v>100</v>
      </c>
      <c r="S69" s="384">
        <f t="shared" si="0"/>
        <v>100</v>
      </c>
    </row>
    <row r="70" spans="1:19" x14ac:dyDescent="0.2">
      <c r="A70" s="337"/>
      <c r="B70" s="337"/>
      <c r="C70" s="346"/>
      <c r="D70" s="346"/>
      <c r="E70" s="337"/>
      <c r="F70" s="347"/>
      <c r="G70" s="348"/>
      <c r="H70" s="337"/>
      <c r="I70" s="337"/>
      <c r="K70" s="281">
        <f>+K3+K6+K9+K12+K15+K18+K21+K24+K27+K30+K33+K36+K39+K42+K45+K48+K51+K54+K57+K60+K63+K66</f>
        <v>100279500</v>
      </c>
      <c r="L70" s="281">
        <f t="shared" ref="K70:L72" si="1">+L3+L6+L9+L12+L15+L18+L21+L24+L27+L30+L33+L36+L39+L42+L45+L48+L51+L54+L57+L60+L63+L66</f>
        <v>237594893.37999994</v>
      </c>
    </row>
    <row r="71" spans="1:19" x14ac:dyDescent="0.2">
      <c r="A71" s="337"/>
      <c r="B71" s="337"/>
      <c r="C71" s="346"/>
      <c r="D71" s="346"/>
      <c r="E71" s="337"/>
      <c r="F71" s="347"/>
      <c r="G71" s="348"/>
      <c r="H71" s="337"/>
      <c r="I71" s="337"/>
      <c r="K71" s="281">
        <f t="shared" si="1"/>
        <v>13901013.000000004</v>
      </c>
      <c r="L71" s="281">
        <f t="shared" si="1"/>
        <v>38840026.090000004</v>
      </c>
    </row>
    <row r="72" spans="1:19" x14ac:dyDescent="0.2">
      <c r="A72" s="337"/>
      <c r="B72" s="337"/>
      <c r="C72" s="346"/>
      <c r="D72" s="346"/>
      <c r="E72" s="337"/>
      <c r="F72" s="347"/>
      <c r="G72" s="348"/>
      <c r="H72" s="337"/>
      <c r="I72" s="336"/>
      <c r="K72" s="281">
        <f t="shared" si="1"/>
        <v>86378487</v>
      </c>
      <c r="L72" s="281">
        <f t="shared" si="1"/>
        <v>198754867.28999999</v>
      </c>
    </row>
    <row r="73" spans="1:19" x14ac:dyDescent="0.2">
      <c r="A73" s="337"/>
      <c r="B73" s="337"/>
      <c r="C73" s="346"/>
      <c r="D73" s="346"/>
      <c r="E73" s="337"/>
      <c r="F73" s="347"/>
      <c r="G73" s="348"/>
      <c r="H73" s="337"/>
      <c r="I73" s="337"/>
    </row>
    <row r="74" spans="1:19" x14ac:dyDescent="0.2">
      <c r="A74" s="337"/>
      <c r="B74" s="337"/>
      <c r="C74" s="346"/>
      <c r="D74" s="346"/>
      <c r="E74" s="337"/>
      <c r="F74" s="347"/>
      <c r="G74" s="348"/>
      <c r="H74" s="337"/>
      <c r="I74" s="337"/>
    </row>
    <row r="75" spans="1:19" x14ac:dyDescent="0.2">
      <c r="A75" s="337"/>
      <c r="B75" s="337"/>
      <c r="C75" s="346"/>
      <c r="D75" s="346"/>
      <c r="E75" s="337"/>
      <c r="F75" s="347"/>
      <c r="G75" s="348"/>
      <c r="H75" s="337"/>
      <c r="I75" s="337"/>
    </row>
    <row r="76" spans="1:19" x14ac:dyDescent="0.2">
      <c r="A76" s="337"/>
      <c r="B76" s="337"/>
      <c r="C76" s="346"/>
      <c r="D76" s="346"/>
      <c r="E76" s="337"/>
      <c r="F76" s="347"/>
      <c r="G76" s="348"/>
      <c r="H76" s="337"/>
      <c r="I76" s="337"/>
    </row>
    <row r="77" spans="1:19" x14ac:dyDescent="0.2">
      <c r="A77" s="337"/>
      <c r="B77" s="337"/>
      <c r="C77" s="346"/>
      <c r="D77" s="346"/>
      <c r="E77" s="337"/>
      <c r="F77" s="347"/>
      <c r="G77" s="348"/>
      <c r="H77" s="337"/>
      <c r="I77" s="337"/>
    </row>
    <row r="78" spans="1:19" x14ac:dyDescent="0.2">
      <c r="A78" s="337"/>
      <c r="B78" s="337"/>
      <c r="C78" s="346"/>
      <c r="D78" s="346"/>
      <c r="E78" s="337"/>
      <c r="F78" s="347"/>
      <c r="G78" s="348"/>
      <c r="H78" s="337"/>
      <c r="I78" s="337"/>
    </row>
    <row r="79" spans="1:19" x14ac:dyDescent="0.2">
      <c r="A79" s="337"/>
      <c r="B79" s="337"/>
      <c r="C79" s="346"/>
      <c r="D79" s="346"/>
      <c r="E79" s="337"/>
      <c r="F79" s="347"/>
      <c r="G79" s="348"/>
      <c r="H79" s="337"/>
      <c r="I79" s="337"/>
    </row>
    <row r="80" spans="1:19" x14ac:dyDescent="0.2">
      <c r="A80" s="337"/>
      <c r="B80" s="337"/>
      <c r="C80" s="346"/>
      <c r="D80" s="346"/>
      <c r="E80" s="337"/>
      <c r="F80" s="347"/>
      <c r="G80" s="348"/>
      <c r="H80" s="337"/>
      <c r="I80" s="337"/>
    </row>
    <row r="81" spans="1:9" x14ac:dyDescent="0.2">
      <c r="A81" s="337"/>
      <c r="B81" s="337"/>
      <c r="C81" s="346"/>
      <c r="D81" s="346"/>
      <c r="E81" s="337"/>
      <c r="F81" s="347"/>
      <c r="G81" s="348"/>
      <c r="H81" s="337"/>
      <c r="I81" s="337"/>
    </row>
  </sheetData>
  <autoFilter ref="A1:M70"/>
  <customSheetViews>
    <customSheetView guid="{32A281B9-28FB-4D0E-8C01-BFBADAC8C3C9}" scale="85" showPageBreaks="1" fitToPage="1" printArea="1" showAutoFilter="1">
      <pane xSplit="1" ySplit="1" topLeftCell="B2" activePane="bottomRight" state="frozen"/>
      <selection pane="bottomRight" sqref="A1:S1048576"/>
      <pageMargins left="0.25" right="0.25" top="0.75" bottom="0.75" header="0.3" footer="0.3"/>
      <pageSetup paperSize="9" scale="80" fitToHeight="0" orientation="landscape" r:id="rId1"/>
      <autoFilter ref="A1:M70"/>
    </customSheetView>
    <customSheetView guid="{77799D3C-38E2-410A-80FA-AECD8E6AB89B}" scale="130" showPageBreaks="1" fitToPage="1" printArea="1" showAutoFilter="1">
      <pane xSplit="4" ySplit="2" topLeftCell="J36" activePane="bottomRight" state="frozen"/>
      <selection pane="bottomRight" activeCell="A36" sqref="A36"/>
      <pageMargins left="0.25" right="0.25" top="0.75" bottom="0.75" header="0.3" footer="0.3"/>
      <pageSetup paperSize="9" scale="80" fitToHeight="0" orientation="landscape" r:id="rId2"/>
      <autoFilter ref="A1:M70"/>
    </customSheetView>
    <customSheetView guid="{6B77031E-918C-40F9-A42D-E4EA46622624}" fitToPage="1" showAutoFilter="1">
      <pane xSplit="4" ySplit="2" topLeftCell="I73" activePane="bottomRight" state="frozen"/>
      <selection pane="bottomRight" activeCell="L90" sqref="L90"/>
      <pageMargins left="0.25" right="0.25" top="0.75" bottom="0.75" header="0.3" footer="0.3"/>
      <pageSetup paperSize="9" scale="80" fitToHeight="0" orientation="landscape" r:id="rId3"/>
      <autoFilter ref="A1:M70"/>
    </customSheetView>
    <customSheetView guid="{DE419AE1-55C7-41E8-9A94-E4062EF30970}" scale="120" showPageBreaks="1" fitToPage="1" printArea="1" showAutoFilter="1">
      <pane xSplit="4" ySplit="2" topLeftCell="E15" activePane="bottomRight" state="frozen"/>
      <selection pane="bottomRight" activeCell="A15" sqref="A15"/>
      <pageMargins left="0.25" right="0.25" top="0.75" bottom="0.75" header="0.3" footer="0.3"/>
      <pageSetup paperSize="9" scale="85" fitToHeight="0" orientation="landscape" r:id="rId4"/>
      <autoFilter ref="A1:M70"/>
    </customSheetView>
    <customSheetView guid="{56BC42A3-D967-4F27-BD5A-CB0B8CB7F657}" scale="150" showPageBreaks="1" fitToPage="1" printArea="1" showAutoFilter="1">
      <pane xSplit="4" ySplit="2" topLeftCell="I51" activePane="bottomRight" state="frozen"/>
      <selection pane="bottomRight" activeCell="I51" sqref="I51"/>
      <pageMargins left="0.25" right="0.25" top="0.75" bottom="0.75" header="0.3" footer="0.3"/>
      <pageSetup paperSize="9" scale="92" fitToHeight="0" orientation="landscape" r:id="rId5"/>
      <autoFilter ref="A1:M68"/>
    </customSheetView>
    <customSheetView guid="{D1BD168D-40B4-46AB-88B7-64C22520CFA0}" scale="120" showPageBreaks="1" fitToPage="1" printArea="1" showAutoFilter="1">
      <pane xSplit="4" ySplit="2" topLeftCell="E52" activePane="bottomRight" state="frozen"/>
      <selection pane="bottomRight" activeCell="A57" sqref="A57"/>
      <pageMargins left="0.25" right="0.25" top="0.75" bottom="0.75" header="0.3" footer="0.3"/>
      <pageSetup paperSize="9" fitToHeight="0" orientation="landscape" r:id="rId6"/>
      <autoFilter ref="A1:M72"/>
    </customSheetView>
    <customSheetView guid="{2A6315F5-C9A2-43A7-B337-00FD30A3EB26}" scale="110" showPageBreaks="1" fitToPage="1" printArea="1" showAutoFilter="1">
      <pane xSplit="7" ySplit="1" topLeftCell="H2" activePane="bottomRight" state="frozen"/>
      <selection pane="bottomRight"/>
      <pageMargins left="0.25" right="0.25" top="0.75" bottom="0.75" header="0.3" footer="0.3"/>
      <pageSetup paperSize="9" scale="73" fitToHeight="0" orientation="landscape" r:id="rId7"/>
      <autoFilter ref="G1:O67"/>
    </customSheetView>
    <customSheetView guid="{DD0EA6D3-BC8C-40D3-B12F-B88059C8E3DC}" scale="120" fitToPage="1" showAutoFilter="1">
      <pane xSplit="1" ySplit="1" topLeftCell="F33" activePane="bottomRight" state="frozen"/>
      <selection pane="bottomRight" activeCell="F33" sqref="F33"/>
      <pageMargins left="0.25" right="0.25" top="0.75" bottom="0.75" header="0.3" footer="0.3"/>
      <pageSetup paperSize="9" scale="82" fitToHeight="0" orientation="landscape" r:id="rId8"/>
      <autoFilter ref="A1:M70"/>
    </customSheetView>
    <customSheetView guid="{B426F9F8-EB1A-4D7B-9478-7E22D414CC12}" scale="120" showPageBreaks="1" fitToPage="1" printArea="1" showAutoFilter="1">
      <pane xSplit="1" ySplit="1" topLeftCell="D33" activePane="bottomRight" state="frozen"/>
      <selection pane="bottomRight" activeCell="G33" sqref="G33"/>
      <pageMargins left="0.25" right="0.25" top="0.75" bottom="0.75" header="0.3" footer="0.3"/>
      <pageSetup paperSize="9" scale="82" fitToHeight="0" orientation="landscape" r:id="rId9"/>
      <autoFilter ref="A1:M70"/>
    </customSheetView>
    <customSheetView guid="{13EBDE9D-EC74-4522-9EED-363E735B4A78}" scale="120" showPageBreaks="1" fitToPage="1" printArea="1" showAutoFilter="1" topLeftCell="A49">
      <pane xSplit="4.5186640471512769" ySplit="8.1422413793103452" topLeftCell="A113"/>
      <selection activeCell="E60" sqref="E60"/>
      <pageMargins left="0.25" right="0.25" top="0.75" bottom="0.75" header="0.3" footer="0.3"/>
      <pageSetup paperSize="9" scale="32" fitToHeight="0" orientation="landscape" r:id="rId10"/>
      <autoFilter ref="A1:M70"/>
    </customSheetView>
    <customSheetView guid="{AD504361-49F3-4986-BDBF-FB73E2299976}" scale="120" showPageBreaks="1" fitToPage="1" printArea="1" showAutoFilter="1">
      <pane xSplit="4" ySplit="2" topLeftCell="J19" activePane="bottomRight" state="frozen"/>
      <selection pane="bottomRight" activeCell="L21" sqref="L21"/>
      <pageMargins left="0.25" right="0.25" top="0.75" bottom="0.75" header="0.3" footer="0.3"/>
      <pageSetup paperSize="9" scale="80" fitToHeight="0" orientation="landscape" r:id="rId11"/>
      <autoFilter ref="A1:M70"/>
    </customSheetView>
  </customSheetViews>
  <pageMargins left="0.25" right="0.25" top="0.75" bottom="0.75" header="0.3" footer="0.3"/>
  <pageSetup paperSize="9" scale="80" fitToHeight="0" orientation="landscape"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1"/>
  <sheetViews>
    <sheetView zoomScaleNormal="100" workbookViewId="0">
      <selection activeCell="N12" sqref="N12"/>
    </sheetView>
  </sheetViews>
  <sheetFormatPr defaultColWidth="9.140625" defaultRowHeight="15" x14ac:dyDescent="0.25"/>
  <cols>
    <col min="1" max="1" width="14.5703125" style="130" customWidth="1"/>
    <col min="2" max="2" width="45.7109375" style="131" customWidth="1"/>
    <col min="3" max="3" width="11.42578125" style="133" customWidth="1"/>
    <col min="4" max="4" width="6.85546875" style="133" customWidth="1"/>
    <col min="5" max="5" width="6.42578125" style="133" bestFit="1" customWidth="1"/>
    <col min="6" max="6" width="7" style="357" bestFit="1" customWidth="1"/>
    <col min="7" max="7" width="7.140625" style="133" customWidth="1"/>
    <col min="8" max="8" width="7.42578125" style="133" customWidth="1"/>
    <col min="9" max="9" width="6" style="133" bestFit="1" customWidth="1"/>
    <col min="10" max="10" width="6.5703125" style="134" bestFit="1" customWidth="1"/>
    <col min="11" max="11" width="6.42578125" style="134" customWidth="1"/>
    <col min="12" max="12" width="6.7109375" style="133" bestFit="1" customWidth="1"/>
    <col min="13" max="13" width="8.7109375" style="133" customWidth="1"/>
    <col min="14" max="15" width="6.5703125" style="133" customWidth="1"/>
    <col min="16" max="16" width="11" style="133" customWidth="1"/>
    <col min="17" max="17" width="10" style="133" customWidth="1"/>
    <col min="18" max="19" width="6.7109375" style="133" customWidth="1"/>
    <col min="20" max="20" width="7" style="357" customWidth="1"/>
    <col min="21" max="22" width="7" style="133" customWidth="1"/>
    <col min="23" max="23" width="6.42578125" style="133" bestFit="1" customWidth="1"/>
    <col min="24" max="24" width="5.7109375" style="134" customWidth="1"/>
    <col min="25" max="25" width="6.28515625" style="134" customWidth="1"/>
    <col min="26" max="26" width="6.5703125" style="133" customWidth="1"/>
    <col min="27" max="27" width="7.5703125" style="133" customWidth="1"/>
    <col min="28" max="28" width="5.5703125" style="133" customWidth="1"/>
    <col min="29" max="29" width="7.140625" style="133" customWidth="1"/>
    <col min="30" max="30" width="11.5703125" style="133" customWidth="1"/>
    <col min="31" max="16384" width="9.140625" style="126"/>
  </cols>
  <sheetData>
    <row r="1" spans="1:30" x14ac:dyDescent="0.25">
      <c r="A1" s="426" t="s">
        <v>73</v>
      </c>
      <c r="B1" s="428" t="s">
        <v>74</v>
      </c>
      <c r="C1" s="430" t="s">
        <v>75</v>
      </c>
      <c r="D1" s="431"/>
      <c r="E1" s="431"/>
      <c r="F1" s="431"/>
      <c r="G1" s="431"/>
      <c r="H1" s="431"/>
      <c r="I1" s="431"/>
      <c r="J1" s="431"/>
      <c r="K1" s="431"/>
      <c r="L1" s="431"/>
      <c r="M1" s="431"/>
      <c r="N1" s="431"/>
      <c r="O1" s="431"/>
      <c r="P1" s="432"/>
      <c r="Q1" s="433" t="s">
        <v>322</v>
      </c>
      <c r="R1" s="434"/>
      <c r="S1" s="434"/>
      <c r="T1" s="434"/>
      <c r="U1" s="434"/>
      <c r="V1" s="434"/>
      <c r="W1" s="434"/>
      <c r="X1" s="434"/>
      <c r="Y1" s="434"/>
      <c r="Z1" s="434"/>
      <c r="AA1" s="434"/>
      <c r="AB1" s="434"/>
      <c r="AC1" s="434"/>
      <c r="AD1" s="435"/>
    </row>
    <row r="2" spans="1:30" ht="48" x14ac:dyDescent="0.25">
      <c r="A2" s="427"/>
      <c r="B2" s="429"/>
      <c r="C2" s="165" t="s">
        <v>76</v>
      </c>
      <c r="D2" s="165" t="s">
        <v>77</v>
      </c>
      <c r="E2" s="165" t="s">
        <v>78</v>
      </c>
      <c r="F2" s="352" t="s">
        <v>459</v>
      </c>
      <c r="G2" s="165" t="s">
        <v>79</v>
      </c>
      <c r="H2" s="165" t="s">
        <v>312</v>
      </c>
      <c r="I2" s="165" t="s">
        <v>80</v>
      </c>
      <c r="J2" s="165" t="s">
        <v>81</v>
      </c>
      <c r="K2" s="165" t="s">
        <v>82</v>
      </c>
      <c r="L2" s="165" t="s">
        <v>83</v>
      </c>
      <c r="M2" s="165" t="s">
        <v>84</v>
      </c>
      <c r="N2" s="165" t="s">
        <v>85</v>
      </c>
      <c r="O2" s="165" t="s">
        <v>332</v>
      </c>
      <c r="P2" s="166" t="s">
        <v>86</v>
      </c>
      <c r="Q2" s="165" t="s">
        <v>87</v>
      </c>
      <c r="R2" s="165" t="s">
        <v>88</v>
      </c>
      <c r="S2" s="165" t="s">
        <v>89</v>
      </c>
      <c r="T2" s="165" t="s">
        <v>459</v>
      </c>
      <c r="U2" s="165" t="s">
        <v>460</v>
      </c>
      <c r="V2" s="165" t="s">
        <v>312</v>
      </c>
      <c r="W2" s="165" t="s">
        <v>90</v>
      </c>
      <c r="X2" s="165" t="s">
        <v>331</v>
      </c>
      <c r="Y2" s="165" t="s">
        <v>91</v>
      </c>
      <c r="Z2" s="165" t="s">
        <v>92</v>
      </c>
      <c r="AA2" s="165" t="s">
        <v>93</v>
      </c>
      <c r="AB2" s="165" t="s">
        <v>94</v>
      </c>
      <c r="AC2" s="165" t="s">
        <v>332</v>
      </c>
      <c r="AD2" s="166" t="s">
        <v>95</v>
      </c>
    </row>
    <row r="3" spans="1:30" ht="30" x14ac:dyDescent="0.25">
      <c r="A3" s="172" t="s">
        <v>96</v>
      </c>
      <c r="B3" s="172" t="s">
        <v>327</v>
      </c>
      <c r="C3" s="167">
        <v>11</v>
      </c>
      <c r="D3" s="167">
        <v>6</v>
      </c>
      <c r="E3" s="167"/>
      <c r="F3" s="353">
        <v>3</v>
      </c>
      <c r="G3" s="167"/>
      <c r="H3" s="167">
        <v>3</v>
      </c>
      <c r="I3" s="167"/>
      <c r="J3" s="168"/>
      <c r="K3" s="168"/>
      <c r="L3" s="167"/>
      <c r="M3" s="167"/>
      <c r="N3" s="167"/>
      <c r="O3" s="167"/>
      <c r="P3" s="169">
        <f>SUM(C3:O3)</f>
        <v>23</v>
      </c>
      <c r="Q3" s="167">
        <v>28</v>
      </c>
      <c r="R3" s="167">
        <v>16</v>
      </c>
      <c r="S3" s="167"/>
      <c r="T3" s="168">
        <v>14</v>
      </c>
      <c r="U3" s="168"/>
      <c r="V3" s="167">
        <v>8</v>
      </c>
      <c r="W3" s="168"/>
      <c r="X3" s="168"/>
      <c r="Y3" s="168"/>
      <c r="Z3" s="167"/>
      <c r="AA3" s="167"/>
      <c r="AB3" s="167"/>
      <c r="AC3" s="167"/>
      <c r="AD3" s="169">
        <f>SUM(Q3:AC3)</f>
        <v>66</v>
      </c>
    </row>
    <row r="4" spans="1:30" x14ac:dyDescent="0.25">
      <c r="A4" s="172" t="s">
        <v>326</v>
      </c>
      <c r="B4" s="172" t="s">
        <v>354</v>
      </c>
      <c r="C4" s="167"/>
      <c r="D4" s="167"/>
      <c r="E4" s="167"/>
      <c r="F4" s="353"/>
      <c r="G4" s="167"/>
      <c r="H4" s="167"/>
      <c r="I4" s="167">
        <v>1</v>
      </c>
      <c r="J4" s="168"/>
      <c r="K4" s="168"/>
      <c r="L4" s="167"/>
      <c r="M4" s="167"/>
      <c r="N4" s="167">
        <v>1</v>
      </c>
      <c r="O4" s="167"/>
      <c r="P4" s="169">
        <f t="shared" ref="P4:P24" si="0">SUM(C4:O4)</f>
        <v>2</v>
      </c>
      <c r="Q4" s="167">
        <v>4</v>
      </c>
      <c r="R4" s="167"/>
      <c r="S4" s="167"/>
      <c r="T4" s="168">
        <v>1</v>
      </c>
      <c r="U4" s="168"/>
      <c r="V4" s="167"/>
      <c r="W4" s="168">
        <v>4</v>
      </c>
      <c r="X4" s="168"/>
      <c r="Y4" s="168"/>
      <c r="Z4" s="167"/>
      <c r="AA4" s="167"/>
      <c r="AB4" s="167">
        <v>1</v>
      </c>
      <c r="AC4" s="167"/>
      <c r="AD4" s="169">
        <f t="shared" ref="AD4:AD24" si="1">SUM(Q4:AC4)</f>
        <v>10</v>
      </c>
    </row>
    <row r="5" spans="1:30" ht="30" x14ac:dyDescent="0.25">
      <c r="A5" s="172" t="s">
        <v>329</v>
      </c>
      <c r="B5" s="172" t="s">
        <v>355</v>
      </c>
      <c r="C5" s="167">
        <v>13</v>
      </c>
      <c r="D5" s="167"/>
      <c r="E5" s="167">
        <v>5</v>
      </c>
      <c r="F5" s="353">
        <v>4</v>
      </c>
      <c r="G5" s="167">
        <v>3</v>
      </c>
      <c r="H5" s="167"/>
      <c r="I5" s="167"/>
      <c r="J5" s="168"/>
      <c r="K5" s="168"/>
      <c r="L5" s="167"/>
      <c r="M5" s="167"/>
      <c r="N5" s="167"/>
      <c r="O5" s="167"/>
      <c r="P5" s="169">
        <f t="shared" si="0"/>
        <v>25</v>
      </c>
      <c r="Q5" s="167">
        <v>24</v>
      </c>
      <c r="R5" s="167"/>
      <c r="S5" s="167">
        <v>9</v>
      </c>
      <c r="T5" s="168">
        <v>3</v>
      </c>
      <c r="U5" s="168">
        <v>8</v>
      </c>
      <c r="V5" s="167"/>
      <c r="W5" s="167"/>
      <c r="X5" s="168"/>
      <c r="Y5" s="168"/>
      <c r="Z5" s="167"/>
      <c r="AA5" s="167"/>
      <c r="AB5" s="167"/>
      <c r="AC5" s="167"/>
      <c r="AD5" s="169">
        <f t="shared" si="1"/>
        <v>44</v>
      </c>
    </row>
    <row r="6" spans="1:30" ht="30" x14ac:dyDescent="0.25">
      <c r="A6" s="172" t="s">
        <v>330</v>
      </c>
      <c r="B6" s="172" t="s">
        <v>97</v>
      </c>
      <c r="C6" s="167"/>
      <c r="D6" s="167">
        <v>72</v>
      </c>
      <c r="E6" s="167">
        <v>118</v>
      </c>
      <c r="F6" s="353">
        <v>63</v>
      </c>
      <c r="G6" s="167">
        <v>240</v>
      </c>
      <c r="H6" s="167"/>
      <c r="I6" s="167"/>
      <c r="J6" s="168"/>
      <c r="K6" s="168"/>
      <c r="L6" s="167"/>
      <c r="M6" s="167"/>
      <c r="N6" s="167"/>
      <c r="O6" s="167"/>
      <c r="P6" s="169">
        <f>SUM(C6:O6)</f>
        <v>493</v>
      </c>
      <c r="Q6" s="170"/>
      <c r="R6" s="171">
        <v>216</v>
      </c>
      <c r="S6" s="167">
        <v>610</v>
      </c>
      <c r="T6" s="168">
        <v>173</v>
      </c>
      <c r="U6" s="168">
        <v>720</v>
      </c>
      <c r="V6" s="167"/>
      <c r="W6" s="167"/>
      <c r="X6" s="167"/>
      <c r="Y6" s="167"/>
      <c r="Z6" s="168"/>
      <c r="AA6" s="168"/>
      <c r="AB6" s="167"/>
      <c r="AC6" s="167"/>
      <c r="AD6" s="169">
        <f>SUM(Q6:AC6)</f>
        <v>1719</v>
      </c>
    </row>
    <row r="7" spans="1:30" ht="60" x14ac:dyDescent="0.25">
      <c r="A7" s="172" t="s">
        <v>360</v>
      </c>
      <c r="B7" s="172" t="s">
        <v>455</v>
      </c>
      <c r="C7" s="167"/>
      <c r="D7" s="167"/>
      <c r="E7" s="167"/>
      <c r="F7" s="353"/>
      <c r="G7" s="167">
        <v>92</v>
      </c>
      <c r="H7" s="167"/>
      <c r="I7" s="167"/>
      <c r="J7" s="168"/>
      <c r="K7" s="168"/>
      <c r="L7" s="167"/>
      <c r="M7" s="167"/>
      <c r="N7" s="167"/>
      <c r="O7" s="167"/>
      <c r="P7" s="169">
        <f>SUM(C7:O7)</f>
        <v>92</v>
      </c>
      <c r="Q7" s="170"/>
      <c r="R7" s="171"/>
      <c r="S7" s="167"/>
      <c r="T7" s="168"/>
      <c r="U7" s="168">
        <v>94</v>
      </c>
      <c r="V7" s="167"/>
      <c r="W7" s="167"/>
      <c r="X7" s="167"/>
      <c r="Y7" s="167"/>
      <c r="Z7" s="168"/>
      <c r="AA7" s="168"/>
      <c r="AB7" s="167"/>
      <c r="AC7" s="167"/>
      <c r="AD7" s="169">
        <f>SUM(Q7:AC7)</f>
        <v>94</v>
      </c>
    </row>
    <row r="8" spans="1:30" ht="30" x14ac:dyDescent="0.25">
      <c r="A8" s="172" t="s">
        <v>394</v>
      </c>
      <c r="B8" s="172" t="s">
        <v>352</v>
      </c>
      <c r="C8" s="167"/>
      <c r="D8" s="167"/>
      <c r="E8" s="167"/>
      <c r="F8" s="353"/>
      <c r="G8" s="167"/>
      <c r="H8" s="167">
        <v>0</v>
      </c>
      <c r="I8" s="167"/>
      <c r="J8" s="168"/>
      <c r="K8" s="168"/>
      <c r="L8" s="167"/>
      <c r="M8" s="167"/>
      <c r="N8" s="167"/>
      <c r="O8" s="167"/>
      <c r="P8" s="169">
        <f t="shared" si="0"/>
        <v>0</v>
      </c>
      <c r="Q8" s="170"/>
      <c r="R8" s="171"/>
      <c r="S8" s="167"/>
      <c r="T8" s="168"/>
      <c r="U8" s="168"/>
      <c r="V8" s="167">
        <v>1</v>
      </c>
      <c r="W8" s="167"/>
      <c r="X8" s="167"/>
      <c r="Y8" s="167"/>
      <c r="Z8" s="168"/>
      <c r="AA8" s="168"/>
      <c r="AB8" s="167"/>
      <c r="AC8" s="167"/>
      <c r="AD8" s="169">
        <f t="shared" si="1"/>
        <v>1</v>
      </c>
    </row>
    <row r="9" spans="1:30" x14ac:dyDescent="0.25">
      <c r="A9" s="172" t="s">
        <v>361</v>
      </c>
      <c r="B9" s="172" t="s">
        <v>98</v>
      </c>
      <c r="C9" s="167">
        <v>25</v>
      </c>
      <c r="D9" s="167"/>
      <c r="E9" s="167"/>
      <c r="F9" s="353"/>
      <c r="G9" s="167"/>
      <c r="H9" s="167"/>
      <c r="I9" s="167"/>
      <c r="J9" s="168"/>
      <c r="K9" s="168"/>
      <c r="L9" s="167"/>
      <c r="M9" s="167"/>
      <c r="N9" s="167"/>
      <c r="O9" s="167"/>
      <c r="P9" s="169">
        <f>SUM(C9:O9)</f>
        <v>25</v>
      </c>
      <c r="Q9" s="170">
        <v>75</v>
      </c>
      <c r="R9" s="171"/>
      <c r="S9" s="167"/>
      <c r="T9" s="168"/>
      <c r="U9" s="168"/>
      <c r="V9" s="167"/>
      <c r="W9" s="167"/>
      <c r="X9" s="167"/>
      <c r="Y9" s="167"/>
      <c r="Z9" s="168"/>
      <c r="AA9" s="168"/>
      <c r="AB9" s="167"/>
      <c r="AC9" s="167"/>
      <c r="AD9" s="169">
        <f>SUM(Q9:AC9)</f>
        <v>75</v>
      </c>
    </row>
    <row r="10" spans="1:30" ht="30" x14ac:dyDescent="0.25">
      <c r="A10" s="172" t="s">
        <v>395</v>
      </c>
      <c r="B10" s="172" t="s">
        <v>99</v>
      </c>
      <c r="C10" s="167">
        <v>10</v>
      </c>
      <c r="D10" s="167"/>
      <c r="E10" s="167"/>
      <c r="F10" s="353"/>
      <c r="G10" s="167"/>
      <c r="H10" s="167"/>
      <c r="I10" s="167"/>
      <c r="J10" s="168"/>
      <c r="K10" s="168"/>
      <c r="L10" s="167"/>
      <c r="M10" s="167"/>
      <c r="N10" s="167"/>
      <c r="O10" s="167"/>
      <c r="P10" s="169">
        <f>SUM(C10:O10)</f>
        <v>10</v>
      </c>
      <c r="Q10" s="170">
        <v>30</v>
      </c>
      <c r="R10" s="171"/>
      <c r="S10" s="167"/>
      <c r="T10" s="168"/>
      <c r="U10" s="168"/>
      <c r="V10" s="167"/>
      <c r="W10" s="167"/>
      <c r="X10" s="167"/>
      <c r="Y10" s="167"/>
      <c r="Z10" s="168"/>
      <c r="AA10" s="168"/>
      <c r="AB10" s="167"/>
      <c r="AC10" s="167"/>
      <c r="AD10" s="169">
        <f>SUM(Q10:AC10)</f>
        <v>30</v>
      </c>
    </row>
    <row r="11" spans="1:30" ht="30" x14ac:dyDescent="0.25">
      <c r="A11" s="172" t="s">
        <v>362</v>
      </c>
      <c r="B11" s="172" t="s">
        <v>334</v>
      </c>
      <c r="C11" s="167">
        <v>20</v>
      </c>
      <c r="D11" s="167"/>
      <c r="E11" s="167"/>
      <c r="F11" s="353"/>
      <c r="G11" s="167"/>
      <c r="H11" s="167"/>
      <c r="I11" s="167"/>
      <c r="J11" s="168"/>
      <c r="K11" s="168"/>
      <c r="L11" s="167"/>
      <c r="M11" s="167"/>
      <c r="N11" s="167"/>
      <c r="O11" s="167"/>
      <c r="P11" s="169">
        <f>SUM(C11:O11)</f>
        <v>20</v>
      </c>
      <c r="Q11" s="170">
        <v>40</v>
      </c>
      <c r="R11" s="171"/>
      <c r="S11" s="167"/>
      <c r="T11" s="353"/>
      <c r="U11" s="167"/>
      <c r="V11" s="167"/>
      <c r="W11" s="167"/>
      <c r="X11" s="167"/>
      <c r="Y11" s="167"/>
      <c r="Z11" s="168"/>
      <c r="AA11" s="168"/>
      <c r="AB11" s="167"/>
      <c r="AC11" s="167"/>
      <c r="AD11" s="169">
        <f>SUM(Q11:AC11)</f>
        <v>40</v>
      </c>
    </row>
    <row r="12" spans="1:30" ht="45" x14ac:dyDescent="0.25">
      <c r="A12" s="172" t="s">
        <v>396</v>
      </c>
      <c r="B12" s="172" t="s">
        <v>433</v>
      </c>
      <c r="C12" s="344">
        <v>53.1</v>
      </c>
      <c r="D12" s="344">
        <v>55.04</v>
      </c>
      <c r="E12" s="344">
        <v>30</v>
      </c>
      <c r="F12" s="358">
        <v>9.6</v>
      </c>
      <c r="G12" s="358">
        <v>18.8</v>
      </c>
      <c r="H12" s="344"/>
      <c r="I12" s="344">
        <v>0</v>
      </c>
      <c r="J12" s="344">
        <v>0</v>
      </c>
      <c r="K12" s="344"/>
      <c r="L12" s="344">
        <v>88</v>
      </c>
      <c r="M12" s="344"/>
      <c r="N12" s="344">
        <v>38</v>
      </c>
      <c r="O12" s="344"/>
      <c r="P12" s="345">
        <f t="shared" si="0"/>
        <v>292.53999999999996</v>
      </c>
      <c r="Q12" s="344">
        <v>53.1</v>
      </c>
      <c r="R12" s="344">
        <v>55.04</v>
      </c>
      <c r="S12" s="344">
        <v>30</v>
      </c>
      <c r="T12" s="358">
        <v>9.6</v>
      </c>
      <c r="U12" s="358">
        <v>18.8</v>
      </c>
      <c r="V12" s="344"/>
      <c r="W12" s="344">
        <v>0</v>
      </c>
      <c r="X12" s="344">
        <v>0</v>
      </c>
      <c r="Y12" s="344"/>
      <c r="Z12" s="344">
        <v>88</v>
      </c>
      <c r="AA12" s="344"/>
      <c r="AB12" s="344">
        <v>38</v>
      </c>
      <c r="AC12" s="344"/>
      <c r="AD12" s="345">
        <f t="shared" si="1"/>
        <v>292.53999999999996</v>
      </c>
    </row>
    <row r="13" spans="1:30" x14ac:dyDescent="0.25">
      <c r="A13" s="172" t="s">
        <v>363</v>
      </c>
      <c r="B13" s="172" t="s">
        <v>356</v>
      </c>
      <c r="C13" s="167">
        <f>4+1+1+2</f>
        <v>8</v>
      </c>
      <c r="D13" s="167">
        <f>2+1</f>
        <v>3</v>
      </c>
      <c r="E13" s="167"/>
      <c r="F13" s="353">
        <v>2</v>
      </c>
      <c r="G13" s="167">
        <f>2+1</f>
        <v>3</v>
      </c>
      <c r="H13" s="167">
        <f>2+1</f>
        <v>3</v>
      </c>
      <c r="I13" s="167">
        <v>1</v>
      </c>
      <c r="J13" s="168">
        <v>2</v>
      </c>
      <c r="K13" s="168"/>
      <c r="L13" s="167"/>
      <c r="M13" s="167"/>
      <c r="N13" s="167">
        <v>2</v>
      </c>
      <c r="O13" s="167">
        <v>11</v>
      </c>
      <c r="P13" s="169">
        <f>SUM(C13:O13)</f>
        <v>35</v>
      </c>
      <c r="Q13" s="170">
        <f>12+1+3+3+7</f>
        <v>26</v>
      </c>
      <c r="R13" s="171">
        <f>7+1</f>
        <v>8</v>
      </c>
      <c r="S13" s="167"/>
      <c r="T13" s="168">
        <v>7</v>
      </c>
      <c r="U13" s="167">
        <f>7+3</f>
        <v>10</v>
      </c>
      <c r="V13" s="167">
        <f>7+1</f>
        <v>8</v>
      </c>
      <c r="W13" s="167">
        <v>2</v>
      </c>
      <c r="X13" s="167">
        <v>7</v>
      </c>
      <c r="Y13" s="167"/>
      <c r="Z13" s="168"/>
      <c r="AA13" s="168"/>
      <c r="AB13" s="167">
        <v>7</v>
      </c>
      <c r="AC13" s="167">
        <v>19</v>
      </c>
      <c r="AD13" s="169">
        <f>SUM(Q13:AC13)</f>
        <v>94</v>
      </c>
    </row>
    <row r="14" spans="1:30" x14ac:dyDescent="0.25">
      <c r="A14" s="172" t="s">
        <v>364</v>
      </c>
      <c r="B14" s="172" t="s">
        <v>491</v>
      </c>
      <c r="C14" s="167">
        <f>61*3</f>
        <v>183</v>
      </c>
      <c r="D14" s="167">
        <f>64*2*3</f>
        <v>384</v>
      </c>
      <c r="E14" s="167">
        <f>120*3</f>
        <v>360</v>
      </c>
      <c r="F14" s="353">
        <f>28*3</f>
        <v>84</v>
      </c>
      <c r="G14" s="167">
        <v>45</v>
      </c>
      <c r="H14" s="167">
        <f>3*20</f>
        <v>60</v>
      </c>
      <c r="I14" s="167">
        <f>5*3</f>
        <v>15</v>
      </c>
      <c r="J14" s="168"/>
      <c r="K14" s="168"/>
      <c r="L14" s="167"/>
      <c r="M14" s="167">
        <v>300</v>
      </c>
      <c r="N14" s="167">
        <v>150</v>
      </c>
      <c r="O14" s="167">
        <v>8998.4630000000034</v>
      </c>
      <c r="P14" s="169">
        <f t="shared" si="0"/>
        <v>10579.463000000003</v>
      </c>
      <c r="Q14" s="170">
        <f>61*8</f>
        <v>488</v>
      </c>
      <c r="R14" s="167">
        <f>64*2*8</f>
        <v>1024</v>
      </c>
      <c r="S14" s="167">
        <f>120*8</f>
        <v>960</v>
      </c>
      <c r="T14" s="168">
        <f>28*8</f>
        <v>224</v>
      </c>
      <c r="U14" s="167">
        <f>120</f>
        <v>120</v>
      </c>
      <c r="V14" s="167">
        <f>8*20</f>
        <v>160</v>
      </c>
      <c r="W14" s="167">
        <f>5*8</f>
        <v>40</v>
      </c>
      <c r="X14" s="167"/>
      <c r="Y14" s="167"/>
      <c r="Z14" s="168"/>
      <c r="AA14" s="168">
        <v>300</v>
      </c>
      <c r="AB14" s="167">
        <v>400</v>
      </c>
      <c r="AC14" s="167">
        <v>15801.543333333335</v>
      </c>
      <c r="AD14" s="169">
        <f t="shared" si="1"/>
        <v>19517.543333333335</v>
      </c>
    </row>
    <row r="15" spans="1:30" ht="30" x14ac:dyDescent="0.25">
      <c r="A15" s="172" t="s">
        <v>365</v>
      </c>
      <c r="B15" s="172" t="s">
        <v>492</v>
      </c>
      <c r="C15" s="167"/>
      <c r="D15" s="167"/>
      <c r="E15" s="167"/>
      <c r="F15" s="353"/>
      <c r="G15" s="167"/>
      <c r="H15" s="167"/>
      <c r="I15" s="167"/>
      <c r="J15" s="168"/>
      <c r="K15" s="168"/>
      <c r="L15" s="167"/>
      <c r="M15" s="167"/>
      <c r="N15" s="167"/>
      <c r="O15" s="167"/>
      <c r="P15" s="169">
        <v>70</v>
      </c>
      <c r="Q15" s="170"/>
      <c r="R15" s="171"/>
      <c r="S15" s="167"/>
      <c r="T15" s="353"/>
      <c r="U15" s="167"/>
      <c r="V15" s="167"/>
      <c r="W15" s="167"/>
      <c r="X15" s="167"/>
      <c r="Y15" s="167"/>
      <c r="Z15" s="168"/>
      <c r="AA15" s="168"/>
      <c r="AB15" s="167"/>
      <c r="AC15" s="167"/>
      <c r="AD15" s="169">
        <v>80</v>
      </c>
    </row>
    <row r="16" spans="1:30" x14ac:dyDescent="0.25">
      <c r="A16" s="172" t="s">
        <v>366</v>
      </c>
      <c r="B16" s="172" t="s">
        <v>413</v>
      </c>
      <c r="C16" s="167"/>
      <c r="D16" s="167"/>
      <c r="E16" s="167"/>
      <c r="F16" s="353"/>
      <c r="G16" s="167"/>
      <c r="H16" s="167"/>
      <c r="I16" s="167"/>
      <c r="J16" s="167"/>
      <c r="K16" s="167">
        <v>45</v>
      </c>
      <c r="L16" s="167"/>
      <c r="M16" s="167"/>
      <c r="N16" s="167"/>
      <c r="O16" s="167"/>
      <c r="P16" s="169">
        <f t="shared" si="0"/>
        <v>45</v>
      </c>
      <c r="Q16" s="170"/>
      <c r="R16" s="171"/>
      <c r="S16" s="167"/>
      <c r="T16" s="353"/>
      <c r="U16" s="167"/>
      <c r="V16" s="167"/>
      <c r="W16" s="167"/>
      <c r="X16" s="167"/>
      <c r="Y16" s="167">
        <v>160</v>
      </c>
      <c r="Z16" s="168"/>
      <c r="AA16" s="168"/>
      <c r="AB16" s="167"/>
      <c r="AC16" s="167"/>
      <c r="AD16" s="169">
        <f t="shared" si="1"/>
        <v>160</v>
      </c>
    </row>
    <row r="17" spans="1:30" x14ac:dyDescent="0.25">
      <c r="A17" s="172" t="s">
        <v>412</v>
      </c>
      <c r="B17" s="172" t="s">
        <v>414</v>
      </c>
      <c r="C17" s="167"/>
      <c r="D17" s="167"/>
      <c r="E17" s="167"/>
      <c r="F17" s="353"/>
      <c r="G17" s="167"/>
      <c r="H17" s="167"/>
      <c r="I17" s="167"/>
      <c r="J17" s="167">
        <v>10</v>
      </c>
      <c r="K17" s="167"/>
      <c r="L17" s="167"/>
      <c r="M17" s="167"/>
      <c r="N17" s="167"/>
      <c r="O17" s="167"/>
      <c r="P17" s="169">
        <f t="shared" si="0"/>
        <v>10</v>
      </c>
      <c r="Q17" s="170"/>
      <c r="R17" s="171"/>
      <c r="S17" s="167"/>
      <c r="T17" s="353"/>
      <c r="U17" s="167"/>
      <c r="V17" s="167"/>
      <c r="W17" s="167"/>
      <c r="X17" s="167">
        <v>60</v>
      </c>
      <c r="Y17" s="167"/>
      <c r="Z17" s="168"/>
      <c r="AA17" s="168"/>
      <c r="AB17" s="167"/>
      <c r="AC17" s="167"/>
      <c r="AD17" s="169">
        <f t="shared" si="1"/>
        <v>60</v>
      </c>
    </row>
    <row r="18" spans="1:30" ht="30" x14ac:dyDescent="0.25">
      <c r="A18" s="172" t="s">
        <v>367</v>
      </c>
      <c r="B18" s="172" t="s">
        <v>357</v>
      </c>
      <c r="C18" s="167"/>
      <c r="D18" s="167"/>
      <c r="E18" s="167"/>
      <c r="F18" s="353"/>
      <c r="G18" s="167"/>
      <c r="H18" s="167"/>
      <c r="I18" s="167"/>
      <c r="J18" s="167"/>
      <c r="K18" s="167"/>
      <c r="L18" s="167"/>
      <c r="M18" s="167"/>
      <c r="N18" s="167"/>
      <c r="O18" s="167"/>
      <c r="P18" s="169">
        <f t="shared" si="0"/>
        <v>0</v>
      </c>
      <c r="Q18" s="170"/>
      <c r="R18" s="171"/>
      <c r="S18" s="167"/>
      <c r="T18" s="353"/>
      <c r="U18" s="167"/>
      <c r="V18" s="167"/>
      <c r="W18" s="167"/>
      <c r="X18" s="167"/>
      <c r="Y18" s="167">
        <v>240</v>
      </c>
      <c r="Z18" s="168"/>
      <c r="AA18" s="168"/>
      <c r="AB18" s="167"/>
      <c r="AC18" s="167"/>
      <c r="AD18" s="169">
        <f t="shared" si="1"/>
        <v>240</v>
      </c>
    </row>
    <row r="19" spans="1:30" ht="30" x14ac:dyDescent="0.25">
      <c r="A19" s="172" t="s">
        <v>419</v>
      </c>
      <c r="B19" s="172" t="s">
        <v>358</v>
      </c>
      <c r="C19" s="167"/>
      <c r="D19" s="167"/>
      <c r="E19" s="167"/>
      <c r="F19" s="353"/>
      <c r="G19" s="167"/>
      <c r="H19" s="167"/>
      <c r="I19" s="167"/>
      <c r="J19" s="167"/>
      <c r="K19" s="167"/>
      <c r="L19" s="167"/>
      <c r="M19" s="167"/>
      <c r="N19" s="167"/>
      <c r="O19" s="167"/>
      <c r="P19" s="169">
        <f t="shared" si="0"/>
        <v>0</v>
      </c>
      <c r="Q19" s="170"/>
      <c r="R19" s="171"/>
      <c r="S19" s="167"/>
      <c r="T19" s="353"/>
      <c r="U19" s="167"/>
      <c r="V19" s="167"/>
      <c r="W19" s="167"/>
      <c r="X19" s="167"/>
      <c r="Y19" s="167">
        <v>140</v>
      </c>
      <c r="Z19" s="168"/>
      <c r="AA19" s="168"/>
      <c r="AB19" s="167"/>
      <c r="AC19" s="167"/>
      <c r="AD19" s="169">
        <f t="shared" si="1"/>
        <v>140</v>
      </c>
    </row>
    <row r="20" spans="1:30" x14ac:dyDescent="0.25">
      <c r="A20" s="172" t="s">
        <v>420</v>
      </c>
      <c r="B20" s="172" t="s">
        <v>425</v>
      </c>
      <c r="C20" s="167"/>
      <c r="D20" s="167"/>
      <c r="E20" s="167"/>
      <c r="F20" s="353"/>
      <c r="G20" s="167"/>
      <c r="H20" s="167"/>
      <c r="I20" s="167"/>
      <c r="J20" s="167"/>
      <c r="K20" s="167">
        <v>0</v>
      </c>
      <c r="L20" s="167"/>
      <c r="M20" s="167"/>
      <c r="N20" s="167"/>
      <c r="O20" s="167"/>
      <c r="P20" s="169">
        <f>SUM(C20:O20)</f>
        <v>0</v>
      </c>
      <c r="Q20" s="170"/>
      <c r="R20" s="171"/>
      <c r="S20" s="167"/>
      <c r="T20" s="353"/>
      <c r="U20" s="167"/>
      <c r="V20" s="167"/>
      <c r="W20" s="167"/>
      <c r="X20" s="167"/>
      <c r="Y20" s="167">
        <v>8</v>
      </c>
      <c r="Z20" s="168"/>
      <c r="AA20" s="168"/>
      <c r="AB20" s="167"/>
      <c r="AC20" s="167"/>
      <c r="AD20" s="169">
        <f>SUM(Q20:AC20)</f>
        <v>8</v>
      </c>
    </row>
    <row r="21" spans="1:30" ht="30" x14ac:dyDescent="0.25">
      <c r="A21" s="172" t="s">
        <v>421</v>
      </c>
      <c r="B21" s="172" t="s">
        <v>424</v>
      </c>
      <c r="C21" s="167"/>
      <c r="D21" s="167"/>
      <c r="E21" s="167"/>
      <c r="F21" s="353"/>
      <c r="G21" s="167"/>
      <c r="H21" s="167"/>
      <c r="I21" s="167"/>
      <c r="J21" s="168">
        <v>12</v>
      </c>
      <c r="K21" s="168"/>
      <c r="L21" s="167">
        <f>1*265+1*2*27</f>
        <v>319</v>
      </c>
      <c r="M21" s="167"/>
      <c r="N21" s="167">
        <v>3</v>
      </c>
      <c r="O21" s="167"/>
      <c r="P21" s="169">
        <f t="shared" si="0"/>
        <v>334</v>
      </c>
      <c r="Q21" s="170"/>
      <c r="R21" s="171"/>
      <c r="S21" s="167"/>
      <c r="T21" s="353"/>
      <c r="U21" s="167"/>
      <c r="V21" s="167"/>
      <c r="W21" s="167"/>
      <c r="X21" s="167">
        <v>36</v>
      </c>
      <c r="Y21" s="167">
        <v>70</v>
      </c>
      <c r="Z21" s="168">
        <f>7*265+7*2*27</f>
        <v>2233</v>
      </c>
      <c r="AA21" s="168"/>
      <c r="AB21" s="167">
        <v>9</v>
      </c>
      <c r="AC21" s="167"/>
      <c r="AD21" s="169">
        <f t="shared" si="1"/>
        <v>2348</v>
      </c>
    </row>
    <row r="22" spans="1:30" x14ac:dyDescent="0.25">
      <c r="A22" s="172" t="s">
        <v>422</v>
      </c>
      <c r="B22" s="172" t="s">
        <v>100</v>
      </c>
      <c r="C22" s="167">
        <v>1000000</v>
      </c>
      <c r="D22" s="167"/>
      <c r="E22" s="167"/>
      <c r="F22" s="353"/>
      <c r="G22" s="167"/>
      <c r="H22" s="167"/>
      <c r="I22" s="167"/>
      <c r="J22" s="168"/>
      <c r="K22" s="168">
        <v>0</v>
      </c>
      <c r="L22" s="167"/>
      <c r="M22" s="167"/>
      <c r="N22" s="167"/>
      <c r="O22" s="167"/>
      <c r="P22" s="169">
        <f t="shared" si="0"/>
        <v>1000000</v>
      </c>
      <c r="Q22" s="170">
        <v>1000000</v>
      </c>
      <c r="R22" s="171"/>
      <c r="S22" s="167"/>
      <c r="T22" s="353"/>
      <c r="U22" s="167"/>
      <c r="V22" s="167"/>
      <c r="W22" s="167"/>
      <c r="X22" s="167"/>
      <c r="Y22" s="167"/>
      <c r="Z22" s="168"/>
      <c r="AA22" s="168"/>
      <c r="AB22" s="167"/>
      <c r="AC22" s="167"/>
      <c r="AD22" s="169">
        <f t="shared" si="1"/>
        <v>1000000</v>
      </c>
    </row>
    <row r="23" spans="1:30" x14ac:dyDescent="0.25">
      <c r="A23" s="172" t="s">
        <v>368</v>
      </c>
      <c r="B23" s="172" t="s">
        <v>101</v>
      </c>
      <c r="C23" s="167">
        <v>2160000</v>
      </c>
      <c r="D23" s="167"/>
      <c r="E23" s="167"/>
      <c r="F23" s="353"/>
      <c r="G23" s="167"/>
      <c r="H23" s="167"/>
      <c r="I23" s="167"/>
      <c r="J23" s="168"/>
      <c r="K23" s="168"/>
      <c r="L23" s="167"/>
      <c r="M23" s="167"/>
      <c r="N23" s="167"/>
      <c r="O23" s="167"/>
      <c r="P23" s="169">
        <f t="shared" si="0"/>
        <v>2160000</v>
      </c>
      <c r="Q23" s="170">
        <v>9072000</v>
      </c>
      <c r="R23" s="171"/>
      <c r="S23" s="167"/>
      <c r="T23" s="353"/>
      <c r="U23" s="167"/>
      <c r="V23" s="167"/>
      <c r="W23" s="167"/>
      <c r="X23" s="167"/>
      <c r="Y23" s="167"/>
      <c r="Z23" s="168"/>
      <c r="AA23" s="168"/>
      <c r="AB23" s="167"/>
      <c r="AC23" s="167"/>
      <c r="AD23" s="169">
        <f t="shared" si="1"/>
        <v>9072000</v>
      </c>
    </row>
    <row r="24" spans="1:30" ht="45" x14ac:dyDescent="0.25">
      <c r="A24" s="172" t="s">
        <v>423</v>
      </c>
      <c r="B24" s="172" t="s">
        <v>102</v>
      </c>
      <c r="C24" s="167">
        <v>72</v>
      </c>
      <c r="D24" s="167"/>
      <c r="E24" s="167"/>
      <c r="F24" s="353"/>
      <c r="G24" s="167"/>
      <c r="H24" s="167"/>
      <c r="I24" s="167"/>
      <c r="J24" s="168"/>
      <c r="K24" s="168"/>
      <c r="L24" s="167"/>
      <c r="M24" s="167"/>
      <c r="N24" s="167"/>
      <c r="O24" s="167"/>
      <c r="P24" s="169">
        <f t="shared" si="0"/>
        <v>72</v>
      </c>
      <c r="Q24" s="170">
        <v>72</v>
      </c>
      <c r="R24" s="171"/>
      <c r="S24" s="167"/>
      <c r="T24" s="353"/>
      <c r="U24" s="167"/>
      <c r="V24" s="167"/>
      <c r="W24" s="167"/>
      <c r="X24" s="167"/>
      <c r="Y24" s="167"/>
      <c r="Z24" s="168"/>
      <c r="AA24" s="168"/>
      <c r="AB24" s="167"/>
      <c r="AC24" s="167"/>
      <c r="AD24" s="169">
        <f t="shared" si="1"/>
        <v>72</v>
      </c>
    </row>
    <row r="27" spans="1:30" x14ac:dyDescent="0.25">
      <c r="B27" s="254"/>
      <c r="C27" s="255"/>
      <c r="D27" s="255"/>
      <c r="E27" s="255"/>
      <c r="F27" s="354"/>
      <c r="G27" s="255"/>
      <c r="H27" s="255"/>
      <c r="I27" s="255"/>
      <c r="J27" s="256"/>
    </row>
    <row r="28" spans="1:30" x14ac:dyDescent="0.25">
      <c r="B28" s="254"/>
      <c r="C28" s="255"/>
      <c r="D28" s="255"/>
      <c r="E28" s="255"/>
      <c r="F28" s="355"/>
      <c r="G28" s="134"/>
      <c r="J28" s="133"/>
      <c r="K28" s="133"/>
      <c r="T28" s="356"/>
      <c r="U28" s="134"/>
      <c r="X28" s="133"/>
      <c r="Y28" s="133"/>
      <c r="AA28" s="126"/>
      <c r="AB28" s="126"/>
      <c r="AC28" s="126"/>
      <c r="AD28" s="126"/>
    </row>
    <row r="29" spans="1:30" x14ac:dyDescent="0.25">
      <c r="B29" s="254"/>
      <c r="C29" s="255"/>
      <c r="D29" s="255"/>
      <c r="E29" s="256"/>
      <c r="F29" s="356"/>
      <c r="J29" s="133"/>
      <c r="K29" s="133"/>
      <c r="S29" s="134"/>
      <c r="T29" s="356"/>
      <c r="X29" s="133"/>
      <c r="Y29" s="133"/>
      <c r="Z29" s="126"/>
      <c r="AA29" s="126"/>
      <c r="AB29" s="126"/>
      <c r="AC29" s="126"/>
      <c r="AD29" s="126"/>
    </row>
    <row r="30" spans="1:30" x14ac:dyDescent="0.25">
      <c r="B30" s="254"/>
      <c r="C30" s="255"/>
      <c r="D30" s="255"/>
      <c r="E30" s="256"/>
      <c r="F30" s="356"/>
      <c r="J30" s="133"/>
      <c r="K30" s="133"/>
      <c r="S30" s="134"/>
      <c r="T30" s="356"/>
      <c r="X30" s="133"/>
      <c r="Y30" s="133"/>
      <c r="Z30" s="126"/>
      <c r="AA30" s="126"/>
      <c r="AB30" s="126"/>
      <c r="AC30" s="126"/>
      <c r="AD30" s="126"/>
    </row>
    <row r="31" spans="1:30" x14ac:dyDescent="0.25">
      <c r="B31" s="254"/>
      <c r="C31" s="255"/>
      <c r="D31" s="255"/>
      <c r="E31" s="256"/>
      <c r="F31" s="356"/>
      <c r="J31" s="133"/>
      <c r="K31" s="133"/>
      <c r="S31" s="134"/>
      <c r="T31" s="356"/>
      <c r="X31" s="133"/>
      <c r="Y31" s="133"/>
      <c r="Z31" s="126"/>
      <c r="AA31" s="126"/>
      <c r="AB31" s="126"/>
      <c r="AC31" s="126"/>
      <c r="AD31" s="126"/>
    </row>
    <row r="32" spans="1:30" x14ac:dyDescent="0.25">
      <c r="B32" s="254"/>
      <c r="C32" s="255"/>
      <c r="D32" s="255"/>
      <c r="E32" s="256"/>
      <c r="F32" s="356"/>
      <c r="J32" s="133"/>
      <c r="K32" s="133"/>
      <c r="S32" s="134"/>
      <c r="T32" s="356"/>
      <c r="X32" s="133"/>
      <c r="Y32" s="133"/>
      <c r="Z32" s="126"/>
      <c r="AA32" s="126"/>
      <c r="AB32" s="126"/>
      <c r="AC32" s="126"/>
      <c r="AD32" s="126"/>
    </row>
    <row r="33" spans="2:30" x14ac:dyDescent="0.25">
      <c r="B33" s="254"/>
      <c r="C33" s="255"/>
      <c r="D33" s="255"/>
      <c r="E33" s="256"/>
      <c r="F33" s="356"/>
      <c r="J33" s="133"/>
      <c r="K33" s="133"/>
      <c r="S33" s="134"/>
      <c r="T33" s="356"/>
      <c r="X33" s="133"/>
      <c r="Y33" s="133"/>
      <c r="Z33" s="126"/>
      <c r="AA33" s="126"/>
      <c r="AB33" s="126"/>
      <c r="AC33" s="126"/>
      <c r="AD33" s="126"/>
    </row>
    <row r="34" spans="2:30" x14ac:dyDescent="0.25">
      <c r="B34" s="254"/>
      <c r="C34" s="255"/>
      <c r="D34" s="255"/>
      <c r="E34" s="256"/>
      <c r="F34" s="356"/>
      <c r="J34" s="133"/>
      <c r="K34" s="133"/>
      <c r="S34" s="134"/>
      <c r="T34" s="356"/>
      <c r="X34" s="133"/>
      <c r="Y34" s="133"/>
      <c r="Z34" s="126"/>
      <c r="AA34" s="126"/>
      <c r="AB34" s="126"/>
      <c r="AC34" s="126"/>
      <c r="AD34" s="126"/>
    </row>
    <row r="35" spans="2:30" x14ac:dyDescent="0.25">
      <c r="B35" s="254"/>
      <c r="C35" s="255"/>
      <c r="D35" s="255"/>
      <c r="E35" s="256"/>
      <c r="F35" s="356"/>
      <c r="J35" s="133"/>
      <c r="K35" s="133"/>
      <c r="S35" s="134"/>
      <c r="T35" s="356"/>
      <c r="X35" s="133"/>
      <c r="Y35" s="133"/>
      <c r="Z35" s="126"/>
      <c r="AA35" s="126"/>
      <c r="AB35" s="126"/>
      <c r="AC35" s="126"/>
      <c r="AD35" s="126"/>
    </row>
    <row r="36" spans="2:30" x14ac:dyDescent="0.25">
      <c r="B36" s="254"/>
      <c r="C36" s="255"/>
      <c r="D36" s="255"/>
      <c r="E36" s="256"/>
      <c r="F36" s="356"/>
      <c r="J36" s="133"/>
      <c r="K36" s="133"/>
      <c r="S36" s="134"/>
      <c r="T36" s="356"/>
      <c r="X36" s="133"/>
      <c r="Y36" s="133"/>
      <c r="Z36" s="126"/>
      <c r="AA36" s="126"/>
      <c r="AB36" s="126"/>
      <c r="AC36" s="126"/>
      <c r="AD36" s="126"/>
    </row>
    <row r="37" spans="2:30" x14ac:dyDescent="0.25">
      <c r="B37" s="254"/>
      <c r="C37" s="255"/>
      <c r="D37" s="255"/>
      <c r="E37" s="256"/>
      <c r="F37" s="356"/>
      <c r="J37" s="133"/>
      <c r="K37" s="133"/>
      <c r="S37" s="134"/>
      <c r="T37" s="356"/>
      <c r="X37" s="133"/>
      <c r="Y37" s="133"/>
      <c r="Z37" s="126"/>
      <c r="AA37" s="126"/>
      <c r="AB37" s="126"/>
      <c r="AC37" s="126"/>
      <c r="AD37" s="126"/>
    </row>
    <row r="38" spans="2:30" x14ac:dyDescent="0.25">
      <c r="B38" s="254"/>
      <c r="C38" s="255"/>
      <c r="D38" s="255"/>
      <c r="E38" s="256"/>
      <c r="F38" s="356"/>
      <c r="J38" s="133"/>
      <c r="K38" s="133"/>
      <c r="S38" s="134"/>
      <c r="T38" s="356"/>
      <c r="X38" s="133"/>
      <c r="Y38" s="133"/>
      <c r="Z38" s="126"/>
      <c r="AA38" s="126"/>
      <c r="AB38" s="126"/>
      <c r="AC38" s="126"/>
      <c r="AD38" s="126"/>
    </row>
    <row r="39" spans="2:30" x14ac:dyDescent="0.25">
      <c r="B39" s="254"/>
      <c r="C39" s="255"/>
      <c r="D39" s="255"/>
      <c r="E39" s="255"/>
      <c r="F39" s="355"/>
      <c r="G39" s="134"/>
      <c r="J39" s="133"/>
      <c r="K39" s="133"/>
      <c r="T39" s="356"/>
      <c r="U39" s="134"/>
      <c r="X39" s="133"/>
      <c r="Y39" s="133"/>
      <c r="AA39" s="126"/>
      <c r="AB39" s="126"/>
      <c r="AC39" s="126"/>
      <c r="AD39" s="126"/>
    </row>
    <row r="40" spans="2:30" x14ac:dyDescent="0.25">
      <c r="F40" s="356"/>
      <c r="G40" s="134"/>
      <c r="J40" s="133"/>
      <c r="K40" s="133"/>
      <c r="T40" s="356"/>
      <c r="U40" s="134"/>
      <c r="X40" s="133"/>
      <c r="Y40" s="133"/>
      <c r="AA40" s="126"/>
      <c r="AB40" s="126"/>
      <c r="AC40" s="126"/>
      <c r="AD40" s="126"/>
    </row>
    <row r="41" spans="2:30" x14ac:dyDescent="0.25">
      <c r="F41" s="356"/>
      <c r="G41" s="134"/>
      <c r="J41" s="133"/>
      <c r="K41" s="133"/>
      <c r="T41" s="356"/>
      <c r="U41" s="134"/>
      <c r="X41" s="133"/>
      <c r="Y41" s="133"/>
      <c r="AA41" s="126"/>
      <c r="AB41" s="126"/>
      <c r="AC41" s="126"/>
      <c r="AD41" s="126"/>
    </row>
  </sheetData>
  <customSheetViews>
    <customSheetView guid="{32A281B9-28FB-4D0E-8C01-BFBADAC8C3C9}">
      <selection activeCell="N12" sqref="N12"/>
      <pageMargins left="0.7" right="0.7" top="0.75" bottom="0.75" header="0.3" footer="0.3"/>
      <pageSetup orientation="portrait" r:id="rId1"/>
    </customSheetView>
    <customSheetView guid="{77799D3C-38E2-410A-80FA-AECD8E6AB89B}" showPageBreaks="1" fitToPage="1">
      <selection activeCell="B7" sqref="B7"/>
      <pageMargins left="0.70866141732283472" right="0.70866141732283472" top="0.74803149606299213" bottom="0.74803149606299213" header="0.31496062992125984" footer="0.31496062992125984"/>
      <pageSetup scale="45" fitToHeight="2" orientation="landscape" r:id="rId2"/>
    </customSheetView>
    <customSheetView guid="{6B77031E-918C-40F9-A42D-E4EA46622624}" fitToPage="1">
      <selection activeCell="B7" sqref="B7"/>
      <pageMargins left="0.70866141732283472" right="0.70866141732283472" top="0.74803149606299213" bottom="0.74803149606299213" header="0.31496062992125984" footer="0.31496062992125984"/>
      <pageSetup scale="45" fitToHeight="2" orientation="landscape" r:id="rId3"/>
    </customSheetView>
    <customSheetView guid="{DE419AE1-55C7-41E8-9A94-E4062EF30970}" fitToPage="1">
      <selection activeCell="A7" sqref="A7"/>
      <pageMargins left="0.70866141732283472" right="0.70866141732283472" top="0.74803149606299213" bottom="0.74803149606299213" header="0.31496062992125984" footer="0.31496062992125984"/>
      <pageSetup scale="45" fitToHeight="2" orientation="landscape" r:id="rId4"/>
    </customSheetView>
    <customSheetView guid="{56BC42A3-D967-4F27-BD5A-CB0B8CB7F657}">
      <selection activeCell="O16" sqref="O16"/>
      <pageMargins left="0.7" right="0.7" top="0.75" bottom="0.75" header="0.3" footer="0.3"/>
      <pageSetup orientation="portrait" r:id="rId5"/>
    </customSheetView>
    <customSheetView guid="{D1BD168D-40B4-46AB-88B7-64C22520CFA0}">
      <selection activeCell="E14" sqref="E14"/>
      <pageMargins left="0.7" right="0.7" top="0.75" bottom="0.75" header="0.3" footer="0.3"/>
      <pageSetup orientation="portrait" r:id="rId6"/>
    </customSheetView>
    <customSheetView guid="{2A6315F5-C9A2-43A7-B337-00FD30A3EB26}">
      <selection activeCell="B27" sqref="B27"/>
      <pageMargins left="0.7" right="0.7" top="0.75" bottom="0.75" header="0.3" footer="0.3"/>
      <pageSetup orientation="portrait" r:id="rId7"/>
    </customSheetView>
    <customSheetView guid="{DD0EA6D3-BC8C-40D3-B12F-B88059C8E3DC}">
      <selection activeCell="N13" sqref="N13"/>
      <pageMargins left="0.7" right="0.7" top="0.75" bottom="0.75" header="0.3" footer="0.3"/>
      <pageSetup orientation="portrait" r:id="rId8"/>
    </customSheetView>
    <customSheetView guid="{B426F9F8-EB1A-4D7B-9478-7E22D414CC12}">
      <selection activeCell="N13" sqref="N13"/>
      <pageMargins left="0.7" right="0.7" top="0.75" bottom="0.75" header="0.3" footer="0.3"/>
      <pageSetup orientation="portrait" r:id="rId9"/>
    </customSheetView>
    <customSheetView guid="{13EBDE9D-EC74-4522-9EED-363E735B4A78}">
      <selection activeCell="C4" sqref="C4"/>
      <pageMargins left="0.7" right="0.7" top="0.75" bottom="0.75" header="0.3" footer="0.3"/>
      <pageSetup orientation="portrait" r:id="rId10"/>
    </customSheetView>
    <customSheetView guid="{AD504361-49F3-4986-BDBF-FB73E2299976}">
      <selection activeCell="E14" sqref="E14"/>
      <pageMargins left="0.7" right="0.7" top="0.75" bottom="0.75" header="0.3" footer="0.3"/>
      <pageSetup orientation="portrait" r:id="rId11"/>
    </customSheetView>
  </customSheetViews>
  <mergeCells count="4">
    <mergeCell ref="A1:A2"/>
    <mergeCell ref="B1:B2"/>
    <mergeCell ref="C1:P1"/>
    <mergeCell ref="Q1:AD1"/>
  </mergeCells>
  <pageMargins left="0.7" right="0.7" top="0.75" bottom="0.75" header="0.3" footer="0.3"/>
  <pageSetup orientation="portrait"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N18" sqref="N18"/>
    </sheetView>
  </sheetViews>
  <sheetFormatPr defaultRowHeight="15" x14ac:dyDescent="0.25"/>
  <cols>
    <col min="1" max="1" width="10" bestFit="1" customWidth="1"/>
    <col min="4" max="4" width="14.7109375" bestFit="1" customWidth="1"/>
    <col min="14" max="14" width="12.28515625" customWidth="1"/>
  </cols>
  <sheetData>
    <row r="1" spans="1:14" x14ac:dyDescent="0.25">
      <c r="A1">
        <v>20882.318840579715</v>
      </c>
      <c r="D1">
        <v>107493</v>
      </c>
      <c r="I1">
        <v>2016</v>
      </c>
      <c r="J1">
        <v>33.799999999999997</v>
      </c>
    </row>
    <row r="2" spans="1:14" x14ac:dyDescent="0.25">
      <c r="A2" s="111">
        <f>(51460-A1)/51460</f>
        <v>0.5942028985507245</v>
      </c>
      <c r="D2">
        <v>31727</v>
      </c>
      <c r="G2">
        <v>270</v>
      </c>
      <c r="I2">
        <v>2017</v>
      </c>
      <c r="J2">
        <v>32.799999999999997</v>
      </c>
    </row>
    <row r="3" spans="1:14" x14ac:dyDescent="0.25">
      <c r="D3">
        <v>4222</v>
      </c>
      <c r="G3">
        <v>1135</v>
      </c>
      <c r="I3">
        <v>2018</v>
      </c>
      <c r="J3">
        <v>33.700000000000003</v>
      </c>
    </row>
    <row r="4" spans="1:14" x14ac:dyDescent="0.25">
      <c r="A4" s="112">
        <v>217867</v>
      </c>
      <c r="B4" t="s">
        <v>182</v>
      </c>
      <c r="D4" s="122">
        <v>143442</v>
      </c>
      <c r="G4">
        <f>SUM(G2:G3)</f>
        <v>1405</v>
      </c>
      <c r="I4">
        <v>2019</v>
      </c>
      <c r="J4">
        <v>32.5</v>
      </c>
    </row>
    <row r="5" spans="1:14" x14ac:dyDescent="0.25">
      <c r="A5" s="112" t="e">
        <f>A4+(#REF!+#REF!)*0.5</f>
        <v>#REF!</v>
      </c>
      <c r="J5">
        <f>J1-J2</f>
        <v>1</v>
      </c>
    </row>
    <row r="6" spans="1:14" x14ac:dyDescent="0.25">
      <c r="D6">
        <f>6527464*0.005</f>
        <v>32637.32</v>
      </c>
      <c r="J6">
        <f>J3-J4</f>
        <v>1.2000000000000028</v>
      </c>
    </row>
    <row r="7" spans="1:14" x14ac:dyDescent="0.25">
      <c r="J7">
        <f>AVERAGE(J5:J6)</f>
        <v>1.1000000000000014</v>
      </c>
    </row>
    <row r="8" spans="1:14" x14ac:dyDescent="0.25">
      <c r="A8" s="111" t="e">
        <f>#REF!/6527464</f>
        <v>#REF!</v>
      </c>
      <c r="D8">
        <v>13.8</v>
      </c>
      <c r="G8" s="124">
        <v>327211</v>
      </c>
    </row>
    <row r="9" spans="1:14" ht="15.75" thickBot="1" x14ac:dyDescent="0.3">
      <c r="D9">
        <v>12.7</v>
      </c>
      <c r="G9" s="125">
        <v>343320</v>
      </c>
    </row>
    <row r="10" spans="1:14" ht="15.75" thickBot="1" x14ac:dyDescent="0.3">
      <c r="A10" s="114">
        <v>234504</v>
      </c>
      <c r="D10">
        <v>12.7</v>
      </c>
      <c r="G10" s="117">
        <v>670531</v>
      </c>
    </row>
    <row r="11" spans="1:14" ht="15.75" thickBot="1" x14ac:dyDescent="0.3">
      <c r="A11" s="114">
        <v>9310</v>
      </c>
      <c r="D11">
        <v>13.9</v>
      </c>
    </row>
    <row r="12" spans="1:14" x14ac:dyDescent="0.25">
      <c r="A12" s="113">
        <f>A10/A11</f>
        <v>25.188399570354459</v>
      </c>
      <c r="D12">
        <f>D8-D9</f>
        <v>1.1000000000000014</v>
      </c>
    </row>
    <row r="13" spans="1:14" x14ac:dyDescent="0.25">
      <c r="A13" s="113"/>
      <c r="D13">
        <f>ABS(D10-D11)</f>
        <v>1.2000000000000011</v>
      </c>
    </row>
    <row r="14" spans="1:14" ht="15.75" thickBot="1" x14ac:dyDescent="0.3">
      <c r="A14" s="115">
        <v>572504</v>
      </c>
      <c r="B14" t="s">
        <v>183</v>
      </c>
      <c r="D14">
        <f>AVERAGE(D12:D13)</f>
        <v>1.1500000000000012</v>
      </c>
    </row>
    <row r="15" spans="1:14" ht="15.75" thickBot="1" x14ac:dyDescent="0.3">
      <c r="A15" s="114">
        <v>26813</v>
      </c>
    </row>
    <row r="16" spans="1:14" x14ac:dyDescent="0.25">
      <c r="A16" s="115">
        <v>91</v>
      </c>
      <c r="D16">
        <f>34000/(1)</f>
        <v>34000</v>
      </c>
      <c r="N16">
        <v>125279172.0055294</v>
      </c>
    </row>
    <row r="17" spans="1:14" x14ac:dyDescent="0.25">
      <c r="A17" s="116">
        <f>A14/(A15+A16)</f>
        <v>21.279512340172467</v>
      </c>
      <c r="N17">
        <v>84500000</v>
      </c>
    </row>
    <row r="18" spans="1:14" x14ac:dyDescent="0.25">
      <c r="D18">
        <v>53101</v>
      </c>
      <c r="E18">
        <f>D18+D19</f>
        <v>65417</v>
      </c>
      <c r="G18">
        <v>1421</v>
      </c>
      <c r="H18">
        <v>5000</v>
      </c>
      <c r="N18">
        <f>N16/N17</f>
        <v>1.4825937515447267</v>
      </c>
    </row>
    <row r="19" spans="1:14" x14ac:dyDescent="0.25">
      <c r="A19">
        <f>SUM(572504+26813+91)*0.1+572504*0.1</f>
        <v>117191.20000000001</v>
      </c>
      <c r="D19">
        <v>12316</v>
      </c>
      <c r="E19">
        <v>34000</v>
      </c>
      <c r="G19">
        <f>D18+D19</f>
        <v>65417</v>
      </c>
      <c r="H19">
        <v>65417</v>
      </c>
    </row>
    <row r="20" spans="1:14" x14ac:dyDescent="0.25">
      <c r="D20">
        <v>20050</v>
      </c>
      <c r="E20" s="111">
        <f>E19/E18</f>
        <v>0.51974257456012962</v>
      </c>
      <c r="G20" s="123">
        <f>G18/G19</f>
        <v>2.17221823073513E-2</v>
      </c>
      <c r="H20" s="123">
        <f>H18/H19</f>
        <v>7.6432731552960237E-2</v>
      </c>
    </row>
    <row r="21" spans="1:14" x14ac:dyDescent="0.25">
      <c r="A21">
        <v>2340</v>
      </c>
      <c r="D21" s="111">
        <f>D20/SUM(D18:D20)</f>
        <v>0.23459346882422455</v>
      </c>
    </row>
    <row r="22" spans="1:14" x14ac:dyDescent="0.25">
      <c r="A22" s="117">
        <f>467/A21*100</f>
        <v>19.957264957264957</v>
      </c>
    </row>
    <row r="24" spans="1:14" x14ac:dyDescent="0.25">
      <c r="A24">
        <v>3380569</v>
      </c>
      <c r="D24">
        <f>2242/D20</f>
        <v>0.11182044887780548</v>
      </c>
    </row>
    <row r="26" spans="1:14" x14ac:dyDescent="0.25">
      <c r="A26" s="118">
        <v>18750</v>
      </c>
      <c r="D26" s="112">
        <v>46000000</v>
      </c>
    </row>
    <row r="27" spans="1:14" x14ac:dyDescent="0.25">
      <c r="A27" s="118">
        <v>6000</v>
      </c>
      <c r="D27" s="112">
        <v>44000</v>
      </c>
    </row>
    <row r="28" spans="1:14" x14ac:dyDescent="0.25">
      <c r="A28" s="119">
        <v>335</v>
      </c>
      <c r="D28" s="112">
        <f>D26/D27</f>
        <v>1045.4545454545455</v>
      </c>
      <c r="E28">
        <f>D28*1.15</f>
        <v>1202.2727272727273</v>
      </c>
    </row>
    <row r="30" spans="1:14" x14ac:dyDescent="0.25">
      <c r="A30" s="118">
        <v>25000000</v>
      </c>
      <c r="D30" s="112">
        <v>83000000</v>
      </c>
    </row>
    <row r="31" spans="1:14" x14ac:dyDescent="0.25">
      <c r="A31" s="118">
        <v>23000000</v>
      </c>
      <c r="D31" s="112">
        <v>90000</v>
      </c>
    </row>
    <row r="32" spans="1:14" x14ac:dyDescent="0.25">
      <c r="A32" s="120">
        <v>8354271.2000000002</v>
      </c>
      <c r="D32">
        <f>D30/D31</f>
        <v>922.22222222222217</v>
      </c>
      <c r="F32">
        <v>20000</v>
      </c>
      <c r="G32">
        <v>10000</v>
      </c>
      <c r="H32" s="123">
        <f>F32*0.9/F33</f>
        <v>5.3245474356535842E-3</v>
      </c>
    </row>
    <row r="33" spans="1:9" x14ac:dyDescent="0.25">
      <c r="A33" s="121">
        <v>56354271.200000003</v>
      </c>
      <c r="F33">
        <v>3380569</v>
      </c>
      <c r="G33">
        <v>3380569</v>
      </c>
    </row>
    <row r="34" spans="1:9" x14ac:dyDescent="0.25">
      <c r="D34">
        <v>618</v>
      </c>
      <c r="F34" s="123">
        <f>F32/F33</f>
        <v>5.9161638173928707E-3</v>
      </c>
      <c r="G34" s="123">
        <f>G32/G33</f>
        <v>2.9580819086964354E-3</v>
      </c>
    </row>
    <row r="35" spans="1:9" x14ac:dyDescent="0.25">
      <c r="D35">
        <v>2500</v>
      </c>
    </row>
    <row r="36" spans="1:9" x14ac:dyDescent="0.25">
      <c r="D36" s="111">
        <f>D34/D35</f>
        <v>0.2472</v>
      </c>
    </row>
    <row r="45" spans="1:9" x14ac:dyDescent="0.25">
      <c r="C45">
        <v>68</v>
      </c>
    </row>
    <row r="46" spans="1:9" x14ac:dyDescent="0.25">
      <c r="C46">
        <v>67</v>
      </c>
      <c r="I46">
        <v>48142</v>
      </c>
    </row>
    <row r="47" spans="1:9" x14ac:dyDescent="0.25">
      <c r="C47">
        <v>65</v>
      </c>
      <c r="I47">
        <v>18271</v>
      </c>
    </row>
    <row r="48" spans="1:9" x14ac:dyDescent="0.25">
      <c r="C48">
        <v>70</v>
      </c>
      <c r="I48">
        <f>I47/I46*100</f>
        <v>37.952307756221174</v>
      </c>
    </row>
    <row r="49" spans="3:3" x14ac:dyDescent="0.25">
      <c r="C49">
        <f>AVERAGE(C45:C48)</f>
        <v>67.5</v>
      </c>
    </row>
  </sheetData>
  <customSheetViews>
    <customSheetView guid="{32A281B9-28FB-4D0E-8C01-BFBADAC8C3C9}" state="hidden">
      <selection activeCell="N18" sqref="N18"/>
      <pageMargins left="0.7" right="0.7" top="0.75" bottom="0.75" header="0.3" footer="0.3"/>
      <pageSetup paperSize="9" orientation="portrait" horizontalDpi="0" verticalDpi="0" r:id="rId1"/>
    </customSheetView>
    <customSheetView guid="{77799D3C-38E2-410A-80FA-AECD8E6AB89B}" state="hidden">
      <selection activeCell="N18" sqref="N18"/>
      <pageMargins left="0.7" right="0.7" top="0.75" bottom="0.75" header="0.3" footer="0.3"/>
      <pageSetup paperSize="9" orientation="portrait" horizontalDpi="0" verticalDpi="0" r:id="rId2"/>
    </customSheetView>
    <customSheetView guid="{6B77031E-918C-40F9-A42D-E4EA46622624}" state="hidden">
      <selection activeCell="N18" sqref="N18"/>
      <pageMargins left="0.7" right="0.7" top="0.75" bottom="0.75" header="0.3" footer="0.3"/>
      <pageSetup paperSize="9" orientation="portrait" horizontalDpi="0" verticalDpi="0" r:id="rId3"/>
    </customSheetView>
    <customSheetView guid="{DE419AE1-55C7-41E8-9A94-E4062EF30970}" state="hidden">
      <selection activeCell="N18" sqref="N18"/>
      <pageMargins left="0.7" right="0.7" top="0.75" bottom="0.75" header="0.3" footer="0.3"/>
      <pageSetup paperSize="9" orientation="portrait" horizontalDpi="0" verticalDpi="0" r:id="rId4"/>
    </customSheetView>
    <customSheetView guid="{56BC42A3-D967-4F27-BD5A-CB0B8CB7F657}" state="hidden">
      <selection activeCell="N18" sqref="N18"/>
      <pageMargins left="0.7" right="0.7" top="0.75" bottom="0.75" header="0.3" footer="0.3"/>
      <pageSetup paperSize="9" orientation="portrait" horizontalDpi="0" verticalDpi="0" r:id="rId5"/>
    </customSheetView>
    <customSheetView guid="{D1BD168D-40B4-46AB-88B7-64C22520CFA0}" state="hidden">
      <selection activeCell="N18" sqref="N18"/>
      <pageMargins left="0.7" right="0.7" top="0.75" bottom="0.75" header="0.3" footer="0.3"/>
      <pageSetup paperSize="9" orientation="portrait" horizontalDpi="0" verticalDpi="0" r:id="rId6"/>
    </customSheetView>
    <customSheetView guid="{2A6315F5-C9A2-43A7-B337-00FD30A3EB26}" state="hidden">
      <selection activeCell="N18" sqref="N18"/>
      <pageMargins left="0.7" right="0.7" top="0.75" bottom="0.75" header="0.3" footer="0.3"/>
      <pageSetup paperSize="9" orientation="portrait" horizontalDpi="0" verticalDpi="0" r:id="rId7"/>
    </customSheetView>
    <customSheetView guid="{E07B67F4-8A17-4050-B9B8-81977BCB02E2}" state="hidden">
      <selection activeCell="N18" sqref="N18"/>
      <pageMargins left="0.7" right="0.7" top="0.75" bottom="0.75" header="0.3" footer="0.3"/>
      <pageSetup paperSize="9" orientation="portrait" horizontalDpi="0" verticalDpi="0" r:id="rId8"/>
    </customSheetView>
    <customSheetView guid="{9CD5F6CE-0E1C-42DA-A598-93523B740CBC}" state="hidden">
      <selection activeCell="N18" sqref="N18"/>
      <pageMargins left="0.7" right="0.7" top="0.75" bottom="0.75" header="0.3" footer="0.3"/>
      <pageSetup paperSize="9" orientation="portrait" horizontalDpi="0" verticalDpi="0" r:id="rId9"/>
    </customSheetView>
    <customSheetView guid="{72B67681-E295-44ED-80A6-F4B618B242B1}" state="hidden">
      <selection activeCell="N18" sqref="N18"/>
    </customSheetView>
    <customSheetView guid="{DD0EA6D3-BC8C-40D3-B12F-B88059C8E3DC}" state="hidden">
      <selection activeCell="N18" sqref="N18"/>
      <pageMargins left="0.7" right="0.7" top="0.75" bottom="0.75" header="0.3" footer="0.3"/>
      <pageSetup paperSize="9" orientation="portrait" horizontalDpi="0" verticalDpi="0" r:id="rId10"/>
    </customSheetView>
    <customSheetView guid="{B426F9F8-EB1A-4D7B-9478-7E22D414CC12}" state="hidden">
      <selection activeCell="N18" sqref="N18"/>
      <pageMargins left="0.7" right="0.7" top="0.75" bottom="0.75" header="0.3" footer="0.3"/>
      <pageSetup paperSize="9" orientation="portrait" horizontalDpi="0" verticalDpi="0" r:id="rId11"/>
    </customSheetView>
    <customSheetView guid="{13EBDE9D-EC74-4522-9EED-363E735B4A78}" state="hidden">
      <selection activeCell="N18" sqref="N18"/>
      <pageMargins left="0.7" right="0.7" top="0.75" bottom="0.75" header="0.3" footer="0.3"/>
      <pageSetup paperSize="9" orientation="portrait" horizontalDpi="0" verticalDpi="0" r:id="rId12"/>
    </customSheetView>
    <customSheetView guid="{AD504361-49F3-4986-BDBF-FB73E2299976}" state="hidden">
      <selection activeCell="N18" sqref="N18"/>
      <pageMargins left="0.7" right="0.7" top="0.75" bottom="0.75" header="0.3" footer="0.3"/>
      <pageSetup paperSize="9" orientation="portrait" horizontalDpi="0" verticalDpi="0" r:id="rId13"/>
    </customSheetView>
  </customSheetViews>
  <pageMargins left="0.7" right="0.7" top="0.75" bottom="0.75" header="0.3" footer="0.3"/>
  <pageSetup paperSize="9" orientation="portrait" horizontalDpi="0" verticalDpi="0"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L16"/>
  <sheetViews>
    <sheetView view="pageBreakPreview" zoomScale="85" zoomScaleNormal="100" zoomScaleSheetLayoutView="85" workbookViewId="0">
      <pane ySplit="2" topLeftCell="A9" activePane="bottomLeft" state="frozen"/>
      <selection pane="bottomLeft" activeCell="C3" sqref="C3:C16"/>
    </sheetView>
  </sheetViews>
  <sheetFormatPr defaultColWidth="21.42578125" defaultRowHeight="12" x14ac:dyDescent="0.25"/>
  <cols>
    <col min="1" max="1" width="16.42578125" style="2" customWidth="1"/>
    <col min="2" max="2" width="14" style="2" customWidth="1"/>
    <col min="3" max="3" width="17.140625" style="2" customWidth="1"/>
    <col min="4" max="4" width="14.28515625" style="2" bestFit="1" customWidth="1"/>
    <col min="5" max="5" width="44.28515625" style="2" customWidth="1"/>
    <col min="6" max="6" width="41.5703125" style="2" customWidth="1"/>
    <col min="7" max="8" width="14.7109375" style="4" customWidth="1"/>
    <col min="9" max="9" width="36.28515625" style="2" customWidth="1"/>
    <col min="10" max="10" width="10.7109375" style="36" customWidth="1"/>
    <col min="11" max="11" width="34.140625" style="2" customWidth="1"/>
    <col min="12" max="12" width="7.5703125" style="4" customWidth="1"/>
    <col min="13" max="16384" width="21.42578125" style="2"/>
  </cols>
  <sheetData>
    <row r="1" spans="1:12" s="4" customFormat="1" x14ac:dyDescent="0.25">
      <c r="A1" s="14">
        <v>2</v>
      </c>
      <c r="B1" s="14">
        <v>3</v>
      </c>
      <c r="C1" s="14">
        <v>6</v>
      </c>
      <c r="D1" s="14">
        <v>7</v>
      </c>
      <c r="E1" s="14">
        <v>8</v>
      </c>
      <c r="F1" s="14"/>
      <c r="G1" s="14"/>
      <c r="H1" s="14"/>
      <c r="I1" s="14">
        <v>9</v>
      </c>
      <c r="J1" s="26"/>
      <c r="K1" s="14">
        <v>10</v>
      </c>
      <c r="L1" s="14"/>
    </row>
    <row r="2" spans="1:12" s="3" customFormat="1" ht="72" x14ac:dyDescent="0.25">
      <c r="A2" s="1" t="s">
        <v>184</v>
      </c>
      <c r="B2" s="1" t="s">
        <v>185</v>
      </c>
      <c r="C2" s="1" t="s">
        <v>186</v>
      </c>
      <c r="D2" s="1" t="s">
        <v>187</v>
      </c>
      <c r="E2" s="1" t="s">
        <v>188</v>
      </c>
      <c r="F2" s="1" t="s">
        <v>189</v>
      </c>
      <c r="G2" s="1" t="s">
        <v>190</v>
      </c>
      <c r="H2" s="1" t="s">
        <v>191</v>
      </c>
      <c r="I2" s="14" t="s">
        <v>192</v>
      </c>
      <c r="J2" s="27" t="s">
        <v>193</v>
      </c>
      <c r="K2" s="1" t="s">
        <v>194</v>
      </c>
      <c r="L2" s="14" t="s">
        <v>195</v>
      </c>
    </row>
    <row r="3" spans="1:12" ht="108" x14ac:dyDescent="0.25">
      <c r="A3" s="436" t="s">
        <v>196</v>
      </c>
      <c r="B3" s="436" t="s">
        <v>197</v>
      </c>
      <c r="C3" s="439" t="s">
        <v>198</v>
      </c>
      <c r="D3" s="436" t="s">
        <v>199</v>
      </c>
      <c r="E3" s="22" t="s">
        <v>200</v>
      </c>
      <c r="F3" s="19" t="s">
        <v>201</v>
      </c>
      <c r="G3" s="78">
        <f>G5-G4</f>
        <v>83218211.999999955</v>
      </c>
      <c r="H3" s="78">
        <f>20/100*G3</f>
        <v>16643642.399999991</v>
      </c>
      <c r="I3" s="8" t="s">
        <v>202</v>
      </c>
      <c r="J3" s="30">
        <f>80/100*60/100*G5</f>
        <v>45391751.999999978</v>
      </c>
      <c r="K3" s="9" t="s">
        <v>203</v>
      </c>
      <c r="L3" s="88">
        <f>(224+93)/14*1.15*15</f>
        <v>390.58928571428567</v>
      </c>
    </row>
    <row r="4" spans="1:12" ht="60" customHeight="1" x14ac:dyDescent="0.25">
      <c r="A4" s="437"/>
      <c r="B4" s="437"/>
      <c r="C4" s="440"/>
      <c r="D4" s="437"/>
      <c r="E4" s="6"/>
      <c r="F4" s="6" t="s">
        <v>204</v>
      </c>
      <c r="G4" s="78">
        <f>20/100*60/100*G5</f>
        <v>11347937.999999994</v>
      </c>
      <c r="H4" s="78"/>
      <c r="I4" s="42"/>
      <c r="J4" s="85">
        <f>60/100*G5-J3-G4</f>
        <v>0</v>
      </c>
      <c r="K4" s="9"/>
      <c r="L4" s="38"/>
    </row>
    <row r="5" spans="1:12" x14ac:dyDescent="0.25">
      <c r="A5" s="437"/>
      <c r="B5" s="437"/>
      <c r="C5" s="440"/>
      <c r="D5" s="437"/>
      <c r="E5" s="8"/>
      <c r="F5" s="41" t="s">
        <v>205</v>
      </c>
      <c r="G5" s="82">
        <f>60/100*'ОПНО_визия евро'!C5</f>
        <v>94566149.999999955</v>
      </c>
      <c r="H5" s="78"/>
      <c r="I5" s="7"/>
      <c r="J5" s="31"/>
      <c r="K5" s="9"/>
      <c r="L5" s="39"/>
    </row>
    <row r="6" spans="1:12" ht="82.5" customHeight="1" x14ac:dyDescent="0.25">
      <c r="A6" s="437"/>
      <c r="B6" s="437"/>
      <c r="C6" s="440"/>
      <c r="D6" s="437"/>
      <c r="E6" s="24" t="s">
        <v>206</v>
      </c>
      <c r="F6" s="17" t="s">
        <v>207</v>
      </c>
      <c r="G6" s="82">
        <f>30/100*'ОПНО_визия евро'!C5</f>
        <v>47283074.999999978</v>
      </c>
      <c r="H6" s="82">
        <f>'ОПНО_визия евро'!B5-П3_Наука_Инфраструктура!H3-П3_Наука_Инфраструктура!H11</f>
        <v>5421792.6000000015</v>
      </c>
      <c r="I6" s="21" t="s">
        <v>208</v>
      </c>
      <c r="J6" s="32">
        <f>(210+359)/14*1.15*15</f>
        <v>701.08928571428567</v>
      </c>
      <c r="K6" s="9" t="s">
        <v>209</v>
      </c>
      <c r="L6" s="28">
        <f>(30+224)/14*1.15*15</f>
        <v>312.96428571428567</v>
      </c>
    </row>
    <row r="7" spans="1:12" ht="36" x14ac:dyDescent="0.25">
      <c r="A7" s="437"/>
      <c r="B7" s="437"/>
      <c r="C7" s="440"/>
      <c r="D7" s="438"/>
      <c r="E7" s="24" t="s">
        <v>210</v>
      </c>
      <c r="F7" s="19"/>
      <c r="G7" s="29"/>
      <c r="H7" s="29"/>
      <c r="I7" s="23" t="s">
        <v>211</v>
      </c>
      <c r="J7" s="33">
        <v>15</v>
      </c>
      <c r="K7" s="9"/>
      <c r="L7" s="37"/>
    </row>
    <row r="8" spans="1:12" ht="60" x14ac:dyDescent="0.25">
      <c r="A8" s="437"/>
      <c r="B8" s="437"/>
      <c r="C8" s="440"/>
      <c r="D8" s="438"/>
      <c r="E8" s="19" t="s">
        <v>212</v>
      </c>
      <c r="F8" s="19"/>
      <c r="G8" s="29"/>
      <c r="H8" s="29"/>
      <c r="I8" s="21"/>
      <c r="J8" s="34"/>
      <c r="K8" s="9"/>
      <c r="L8" s="39"/>
    </row>
    <row r="9" spans="1:12" ht="60" x14ac:dyDescent="0.25">
      <c r="A9" s="437"/>
      <c r="B9" s="437"/>
      <c r="C9" s="440"/>
      <c r="D9" s="438"/>
      <c r="E9" s="19" t="s">
        <v>213</v>
      </c>
      <c r="F9" s="19"/>
      <c r="G9" s="29"/>
      <c r="H9" s="29"/>
      <c r="I9" s="21"/>
      <c r="J9" s="34"/>
      <c r="K9" s="9"/>
      <c r="L9" s="39"/>
    </row>
    <row r="10" spans="1:12" ht="60" x14ac:dyDescent="0.25">
      <c r="A10" s="437"/>
      <c r="B10" s="437"/>
      <c r="C10" s="440"/>
      <c r="D10" s="438"/>
      <c r="E10" s="20" t="s">
        <v>214</v>
      </c>
      <c r="F10" s="19"/>
      <c r="G10" s="29"/>
      <c r="H10" s="22"/>
      <c r="I10" s="21"/>
      <c r="J10" s="35"/>
      <c r="K10" s="9"/>
      <c r="L10" s="38"/>
    </row>
    <row r="11" spans="1:12" ht="48" x14ac:dyDescent="0.25">
      <c r="A11" s="437"/>
      <c r="B11" s="437"/>
      <c r="C11" s="440"/>
      <c r="D11" s="438"/>
      <c r="E11" s="24" t="s">
        <v>215</v>
      </c>
      <c r="F11" s="17" t="s">
        <v>216</v>
      </c>
      <c r="G11" s="82">
        <f>10/100*'ОПНО_визия евро'!C5</f>
        <v>15761024.999999994</v>
      </c>
      <c r="H11" s="83">
        <f>60/100*G11</f>
        <v>9456614.9999999963</v>
      </c>
      <c r="I11" s="15" t="s">
        <v>217</v>
      </c>
      <c r="J11" s="35">
        <f>15*3</f>
        <v>45</v>
      </c>
      <c r="K11" s="9" t="s">
        <v>218</v>
      </c>
      <c r="L11" s="88">
        <f>50/100*L6</f>
        <v>156.48214285714283</v>
      </c>
    </row>
    <row r="12" spans="1:12" ht="24" x14ac:dyDescent="0.25">
      <c r="A12" s="437"/>
      <c r="B12" s="437"/>
      <c r="C12" s="440"/>
      <c r="D12" s="438"/>
      <c r="E12" s="19" t="s">
        <v>219</v>
      </c>
      <c r="F12" s="19"/>
      <c r="G12" s="29"/>
      <c r="H12" s="40"/>
      <c r="I12" s="16"/>
      <c r="J12" s="33"/>
      <c r="K12" s="9"/>
      <c r="L12" s="39"/>
    </row>
    <row r="13" spans="1:12" ht="72" x14ac:dyDescent="0.25">
      <c r="A13" s="437"/>
      <c r="B13" s="437"/>
      <c r="C13" s="440"/>
      <c r="D13" s="438"/>
      <c r="E13" s="19" t="s">
        <v>220</v>
      </c>
      <c r="F13" s="19"/>
      <c r="G13" s="29"/>
      <c r="H13" s="40"/>
      <c r="I13" s="21"/>
      <c r="J13" s="34"/>
      <c r="K13" s="9"/>
      <c r="L13" s="39"/>
    </row>
    <row r="14" spans="1:12" x14ac:dyDescent="0.25">
      <c r="A14" s="437"/>
      <c r="B14" s="437"/>
      <c r="C14" s="440"/>
      <c r="D14" s="438"/>
      <c r="E14" s="19" t="s">
        <v>221</v>
      </c>
      <c r="F14" s="19"/>
      <c r="G14" s="29"/>
      <c r="H14" s="40"/>
      <c r="I14" s="21"/>
      <c r="J14" s="34"/>
      <c r="K14" s="9"/>
      <c r="L14" s="39"/>
    </row>
    <row r="15" spans="1:12" x14ac:dyDescent="0.25">
      <c r="A15" s="437"/>
      <c r="B15" s="437"/>
      <c r="C15" s="440"/>
      <c r="D15" s="438"/>
      <c r="E15" s="18" t="s">
        <v>222</v>
      </c>
      <c r="F15" s="81"/>
      <c r="G15" s="39"/>
      <c r="H15" s="84"/>
      <c r="I15" s="25"/>
      <c r="J15" s="34"/>
      <c r="K15" s="9"/>
      <c r="L15" s="38"/>
    </row>
    <row r="16" spans="1:12" ht="48" x14ac:dyDescent="0.25">
      <c r="A16" s="441"/>
      <c r="B16" s="441"/>
      <c r="C16" s="440"/>
      <c r="D16" s="437"/>
      <c r="E16" s="79" t="s">
        <v>223</v>
      </c>
      <c r="F16" s="20"/>
      <c r="G16" s="22"/>
      <c r="H16" s="80"/>
      <c r="I16" s="25" t="s">
        <v>224</v>
      </c>
      <c r="J16" s="32">
        <f>15*1</f>
        <v>15</v>
      </c>
      <c r="K16" s="9"/>
      <c r="L16" s="39"/>
    </row>
  </sheetData>
  <customSheetViews>
    <customSheetView guid="{32A281B9-28FB-4D0E-8C01-BFBADAC8C3C9}"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
    </customSheetView>
    <customSheetView guid="{77799D3C-38E2-410A-80FA-AECD8E6AB89B}"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2"/>
    </customSheetView>
    <customSheetView guid="{6B77031E-918C-40F9-A42D-E4EA46622624}"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3"/>
    </customSheetView>
    <customSheetView guid="{DE419AE1-55C7-41E8-9A94-E4062EF3097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4"/>
    </customSheetView>
    <customSheetView guid="{56BC42A3-D967-4F27-BD5A-CB0B8CB7F657}"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5"/>
    </customSheetView>
    <customSheetView guid="{D1BD168D-40B4-46AB-88B7-64C22520CFA0}"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6"/>
    </customSheetView>
    <customSheetView guid="{2A6315F5-C9A2-43A7-B337-00FD30A3EB2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7"/>
    </customSheetView>
    <customSheetView guid="{E07B67F4-8A17-4050-B9B8-81977BCB02E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8"/>
    </customSheetView>
    <customSheetView guid="{9CD5F6CE-0E1C-42DA-A598-93523B740CB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9"/>
    </customSheetView>
    <customSheetView guid="{72B67681-E295-44ED-80A6-F4B618B242B1}" scale="85" showPageBreaks="1" state="hidden" view="pageBreakPreview">
      <pane ySplit="2" topLeftCell="A9" activePane="bottomLeft" state="frozen"/>
      <selection pane="bottomLeft" activeCell="C3" sqref="C3:C16"/>
    </customSheetView>
    <customSheetView guid="{DD0EA6D3-BC8C-40D3-B12F-B88059C8E3DC}"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0"/>
    </customSheetView>
    <customSheetView guid="{B426F9F8-EB1A-4D7B-9478-7E22D414CC12}"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1"/>
    </customSheetView>
    <customSheetView guid="{13EBDE9D-EC74-4522-9EED-363E735B4A78}"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2"/>
    </customSheetView>
    <customSheetView guid="{AD504361-49F3-4986-BDBF-FB73E2299976}" scale="85" showPageBreaks="1" fitToPage="1" printArea="1" state="hidden" view="pageBreakPreview">
      <pane ySplit="2" topLeftCell="A9" activePane="bottomLeft" state="frozen"/>
      <selection pane="bottomLeft" activeCell="C3" sqref="C3:C16"/>
      <pageMargins left="0.7" right="0.7" top="0.75" bottom="0.75" header="0.3" footer="0.3"/>
      <pageSetup paperSize="9" scale="49" orientation="landscape" r:id="rId13"/>
    </customSheetView>
  </customSheetViews>
  <mergeCells count="4">
    <mergeCell ref="D3:D16"/>
    <mergeCell ref="C3:C16"/>
    <mergeCell ref="B3:B16"/>
    <mergeCell ref="A3:A16"/>
  </mergeCells>
  <pageMargins left="0.7" right="0.7" top="0.75" bottom="0.75" header="0.3" footer="0.3"/>
  <pageSetup paperSize="9" scale="49" orientation="landscape"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21"/>
  <sheetViews>
    <sheetView view="pageBreakPreview" zoomScale="90" zoomScaleNormal="100" zoomScaleSheetLayoutView="90" workbookViewId="0">
      <pane ySplit="2" topLeftCell="A3" activePane="bottomLeft" state="frozen"/>
      <selection pane="bottomLeft" activeCell="C3" sqref="C3:C13"/>
    </sheetView>
  </sheetViews>
  <sheetFormatPr defaultColWidth="21.42578125" defaultRowHeight="15" x14ac:dyDescent="0.25"/>
  <cols>
    <col min="1" max="1" width="84.140625" style="2" bestFit="1" customWidth="1"/>
    <col min="2" max="2" width="22" style="2" bestFit="1" customWidth="1"/>
    <col min="3" max="3" width="12.85546875" style="2" bestFit="1" customWidth="1"/>
    <col min="4" max="4" width="21.140625" style="2" bestFit="1" customWidth="1"/>
    <col min="5" max="5" width="51.5703125" style="2" bestFit="1" customWidth="1"/>
    <col min="6" max="6" width="47.28515625" style="2" bestFit="1" customWidth="1"/>
    <col min="7" max="7" width="13.7109375" style="2" customWidth="1"/>
    <col min="8" max="8" width="12.7109375" style="2" customWidth="1"/>
    <col min="9" max="9" width="31" style="2" bestFit="1" customWidth="1"/>
    <col min="10" max="10" width="9" style="2" bestFit="1" customWidth="1"/>
    <col min="11" max="11" width="22.7109375" style="2" bestFit="1" customWidth="1"/>
    <col min="12" max="12" width="9" style="2" bestFit="1" customWidth="1"/>
    <col min="13" max="13" width="21.28515625" style="2" customWidth="1"/>
    <col min="14" max="14" width="21.42578125" style="5"/>
    <col min="15" max="16384" width="21.42578125" style="2"/>
  </cols>
  <sheetData>
    <row r="1" spans="1:14" s="4" customFormat="1" ht="12" x14ac:dyDescent="0.25">
      <c r="A1" s="1">
        <v>2</v>
      </c>
      <c r="B1" s="1">
        <v>3</v>
      </c>
      <c r="C1" s="1">
        <v>6</v>
      </c>
      <c r="D1" s="1">
        <v>7</v>
      </c>
      <c r="E1" s="1">
        <v>8</v>
      </c>
      <c r="F1" s="1">
        <v>9</v>
      </c>
      <c r="G1" s="1">
        <v>10</v>
      </c>
      <c r="H1" s="1"/>
      <c r="I1" s="1">
        <v>11</v>
      </c>
      <c r="J1" s="1">
        <v>12</v>
      </c>
      <c r="K1" s="1">
        <v>13</v>
      </c>
      <c r="L1" s="1">
        <v>14</v>
      </c>
      <c r="M1" s="1">
        <v>15</v>
      </c>
    </row>
    <row r="2" spans="1:14" s="4" customFormat="1" ht="72" x14ac:dyDescent="0.25">
      <c r="A2" s="1" t="s">
        <v>225</v>
      </c>
      <c r="B2" s="1" t="s">
        <v>226</v>
      </c>
      <c r="C2" s="1" t="s">
        <v>227</v>
      </c>
      <c r="D2" s="1" t="s">
        <v>228</v>
      </c>
      <c r="E2" s="1" t="s">
        <v>229</v>
      </c>
      <c r="F2" s="1" t="s">
        <v>230</v>
      </c>
      <c r="G2" s="1" t="s">
        <v>231</v>
      </c>
      <c r="H2" s="1" t="s">
        <v>232</v>
      </c>
      <c r="I2" s="1" t="s">
        <v>233</v>
      </c>
      <c r="J2" s="1" t="s">
        <v>234</v>
      </c>
      <c r="K2" s="14" t="s">
        <v>235</v>
      </c>
      <c r="L2" s="14" t="s">
        <v>236</v>
      </c>
      <c r="M2" s="14" t="s">
        <v>237</v>
      </c>
    </row>
    <row r="3" spans="1:14" ht="72" customHeight="1" x14ac:dyDescent="0.25">
      <c r="A3" s="442" t="s">
        <v>238</v>
      </c>
      <c r="B3" s="451" t="s">
        <v>239</v>
      </c>
      <c r="C3" s="448" t="s">
        <v>240</v>
      </c>
      <c r="D3" s="445" t="str">
        <f>П3_Наука_Инфраструктура!$D$3</f>
        <v>Специфична цел i) Засилване на капацитета за научни изследвания и иновации и на въвеждането на модерни технологии</v>
      </c>
      <c r="E3" s="24" t="s">
        <v>241</v>
      </c>
      <c r="F3" s="17" t="s">
        <v>242</v>
      </c>
      <c r="G3" s="82">
        <f>G14-G8</f>
        <v>63044099.999999985</v>
      </c>
      <c r="H3" s="82">
        <f>20/100*G14-H8</f>
        <v>1801260</v>
      </c>
      <c r="I3" s="21" t="s">
        <v>243</v>
      </c>
      <c r="J3" s="102">
        <f>G14/70*100/3500000*10</f>
        <v>367.60408163265299</v>
      </c>
      <c r="K3" s="103" t="s">
        <v>244</v>
      </c>
      <c r="L3" s="104">
        <f>H20</f>
        <v>233.42859183673463</v>
      </c>
      <c r="M3" s="439" t="s">
        <v>245</v>
      </c>
      <c r="N3" s="2"/>
    </row>
    <row r="4" spans="1:14" ht="36" x14ac:dyDescent="0.25">
      <c r="A4" s="438"/>
      <c r="B4" s="452"/>
      <c r="C4" s="449"/>
      <c r="D4" s="446"/>
      <c r="E4" s="24" t="s">
        <v>246</v>
      </c>
      <c r="F4" s="19"/>
      <c r="G4" s="29"/>
      <c r="H4" s="29"/>
      <c r="I4" s="23" t="s">
        <v>247</v>
      </c>
      <c r="J4" s="100">
        <v>15</v>
      </c>
      <c r="K4" s="81"/>
      <c r="L4" s="105"/>
      <c r="M4" s="440"/>
      <c r="N4" s="2"/>
    </row>
    <row r="5" spans="1:14" ht="24" x14ac:dyDescent="0.25">
      <c r="A5" s="438"/>
      <c r="B5" s="452"/>
      <c r="C5" s="449"/>
      <c r="D5" s="446"/>
      <c r="E5" s="19" t="s">
        <v>248</v>
      </c>
      <c r="F5" s="19"/>
      <c r="G5" s="29"/>
      <c r="H5" s="29"/>
      <c r="I5" s="21"/>
      <c r="J5" s="101"/>
      <c r="K5" s="81"/>
      <c r="L5" s="105"/>
      <c r="M5" s="440"/>
      <c r="N5" s="2"/>
    </row>
    <row r="6" spans="1:14" ht="48" x14ac:dyDescent="0.25">
      <c r="A6" s="438"/>
      <c r="B6" s="452"/>
      <c r="C6" s="449"/>
      <c r="D6" s="446"/>
      <c r="E6" s="19" t="s">
        <v>249</v>
      </c>
      <c r="F6" s="19"/>
      <c r="G6" s="29"/>
      <c r="H6" s="29"/>
      <c r="I6" s="21"/>
      <c r="J6" s="101"/>
      <c r="K6" s="81"/>
      <c r="L6" s="105"/>
      <c r="M6" s="440"/>
      <c r="N6" s="2"/>
    </row>
    <row r="7" spans="1:14" ht="48" x14ac:dyDescent="0.25">
      <c r="A7" s="438"/>
      <c r="B7" s="452"/>
      <c r="C7" s="449"/>
      <c r="D7" s="446"/>
      <c r="E7" s="20" t="s">
        <v>250</v>
      </c>
      <c r="F7" s="19"/>
      <c r="G7" s="29"/>
      <c r="H7" s="22"/>
      <c r="I7" s="21"/>
      <c r="J7" s="99"/>
      <c r="K7" s="18"/>
      <c r="L7" s="105"/>
      <c r="M7" s="440"/>
      <c r="N7" s="2"/>
    </row>
    <row r="8" spans="1:14" ht="36" x14ac:dyDescent="0.25">
      <c r="A8" s="438"/>
      <c r="B8" s="452"/>
      <c r="C8" s="449"/>
      <c r="D8" s="446"/>
      <c r="E8" s="24" t="s">
        <v>251</v>
      </c>
      <c r="F8" s="17" t="s">
        <v>252</v>
      </c>
      <c r="G8" s="82">
        <f>30/100*G14</f>
        <v>27018899.999999996</v>
      </c>
      <c r="H8" s="83">
        <f>60/100*G8</f>
        <v>16211339.999999996</v>
      </c>
      <c r="I8" s="15" t="s">
        <v>253</v>
      </c>
      <c r="J8" s="99">
        <f>37*1</f>
        <v>37</v>
      </c>
      <c r="K8" s="81" t="s">
        <v>254</v>
      </c>
      <c r="L8" s="106">
        <f>50/100*L3</f>
        <v>116.71429591836731</v>
      </c>
      <c r="M8" s="440"/>
      <c r="N8" s="2"/>
    </row>
    <row r="9" spans="1:14" ht="24" x14ac:dyDescent="0.25">
      <c r="A9" s="438"/>
      <c r="B9" s="452"/>
      <c r="C9" s="449"/>
      <c r="D9" s="446"/>
      <c r="E9" s="19" t="s">
        <v>255</v>
      </c>
      <c r="F9" s="19"/>
      <c r="G9" s="29"/>
      <c r="H9" s="40"/>
      <c r="I9" s="16"/>
      <c r="J9" s="100"/>
      <c r="K9" s="81"/>
      <c r="L9" s="105"/>
      <c r="M9" s="440"/>
    </row>
    <row r="10" spans="1:14" ht="60" x14ac:dyDescent="0.25">
      <c r="A10" s="438"/>
      <c r="B10" s="452"/>
      <c r="C10" s="449"/>
      <c r="D10" s="446"/>
      <c r="E10" s="19" t="s">
        <v>256</v>
      </c>
      <c r="F10" s="19"/>
      <c r="G10" s="29"/>
      <c r="H10" s="40"/>
      <c r="I10" s="21"/>
      <c r="J10" s="101"/>
      <c r="K10" s="81"/>
      <c r="L10" s="105"/>
      <c r="M10" s="440"/>
    </row>
    <row r="11" spans="1:14" x14ac:dyDescent="0.25">
      <c r="A11" s="438"/>
      <c r="B11" s="452"/>
      <c r="C11" s="449"/>
      <c r="D11" s="446"/>
      <c r="E11" s="19" t="s">
        <v>257</v>
      </c>
      <c r="F11" s="19"/>
      <c r="G11" s="29"/>
      <c r="H11" s="40"/>
      <c r="I11" s="21"/>
      <c r="J11" s="101"/>
      <c r="K11" s="81"/>
      <c r="L11" s="105"/>
      <c r="M11" s="440"/>
    </row>
    <row r="12" spans="1:14" x14ac:dyDescent="0.25">
      <c r="A12" s="438"/>
      <c r="B12" s="452"/>
      <c r="C12" s="449"/>
      <c r="D12" s="446"/>
      <c r="E12" s="18" t="s">
        <v>258</v>
      </c>
      <c r="F12" s="81"/>
      <c r="G12" s="39"/>
      <c r="H12" s="84"/>
      <c r="I12" s="25"/>
      <c r="J12" s="101"/>
      <c r="K12" s="81"/>
      <c r="L12" s="105"/>
      <c r="M12" s="440"/>
    </row>
    <row r="13" spans="1:14" x14ac:dyDescent="0.25">
      <c r="A13" s="443"/>
      <c r="B13" s="453"/>
      <c r="C13" s="450"/>
      <c r="D13" s="447"/>
      <c r="E13" s="79" t="s">
        <v>259</v>
      </c>
      <c r="F13" s="20"/>
      <c r="G13" s="22"/>
      <c r="H13" s="80"/>
      <c r="I13" s="25" t="s">
        <v>260</v>
      </c>
      <c r="J13" s="102">
        <f>37*1</f>
        <v>37</v>
      </c>
      <c r="K13" s="18"/>
      <c r="L13" s="107"/>
      <c r="M13" s="444"/>
    </row>
    <row r="14" spans="1:14" x14ac:dyDescent="0.25">
      <c r="F14" s="4" t="s">
        <v>261</v>
      </c>
      <c r="G14" s="89">
        <f>'ОПНО_визия евро'!C6</f>
        <v>90062999.999999985</v>
      </c>
    </row>
    <row r="17" spans="6:8" ht="15.75" thickBot="1" x14ac:dyDescent="0.3"/>
    <row r="18" spans="6:8" x14ac:dyDescent="0.25">
      <c r="F18" s="91" t="s">
        <v>262</v>
      </c>
      <c r="G18" s="92">
        <f>0.4*350000000</f>
        <v>140000000</v>
      </c>
      <c r="H18" s="92">
        <f>(30+224)</f>
        <v>254</v>
      </c>
    </row>
    <row r="19" spans="6:8" x14ac:dyDescent="0.25">
      <c r="F19" s="96" t="s">
        <v>263</v>
      </c>
      <c r="G19" s="108">
        <f>G14/70*100</f>
        <v>128661428.57142854</v>
      </c>
      <c r="H19" s="93"/>
    </row>
    <row r="20" spans="6:8" ht="15.75" thickBot="1" x14ac:dyDescent="0.3">
      <c r="F20" s="94"/>
      <c r="G20" s="95">
        <f>G19/G18</f>
        <v>0.91901020408163236</v>
      </c>
      <c r="H20" s="98">
        <f>H18*G20</f>
        <v>233.42859183673463</v>
      </c>
    </row>
    <row r="21" spans="6:8" x14ac:dyDescent="0.25">
      <c r="F21" s="2" t="s">
        <v>264</v>
      </c>
      <c r="G21" s="109">
        <f>G19/3500000</f>
        <v>36.760408163265296</v>
      </c>
    </row>
  </sheetData>
  <customSheetViews>
    <customSheetView guid="{32A281B9-28FB-4D0E-8C01-BFBADAC8C3C9}"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
    </customSheetView>
    <customSheetView guid="{77799D3C-38E2-410A-80FA-AECD8E6AB89B}"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2"/>
    </customSheetView>
    <customSheetView guid="{6B77031E-918C-40F9-A42D-E4EA46622624}"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3"/>
    </customSheetView>
    <customSheetView guid="{DE419AE1-55C7-41E8-9A94-E4062EF3097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4"/>
    </customSheetView>
    <customSheetView guid="{56BC42A3-D967-4F27-BD5A-CB0B8CB7F657}"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5"/>
    </customSheetView>
    <customSheetView guid="{D1BD168D-40B4-46AB-88B7-64C22520CFA0}"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6"/>
    </customSheetView>
    <customSheetView guid="{2A6315F5-C9A2-43A7-B337-00FD30A3EB2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7"/>
    </customSheetView>
    <customSheetView guid="{E07B67F4-8A17-4050-B9B8-81977BCB02E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8"/>
    </customSheetView>
    <customSheetView guid="{9CD5F6CE-0E1C-42DA-A598-93523B740CB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9"/>
    </customSheetView>
    <customSheetView guid="{72B67681-E295-44ED-80A6-F4B618B242B1}" scale="90" showPageBreaks="1" state="hidden" view="pageBreakPreview">
      <pane ySplit="2" topLeftCell="A3" activePane="bottomLeft" state="frozen"/>
      <selection pane="bottomLeft" activeCell="C3" sqref="C3:C13"/>
    </customSheetView>
    <customSheetView guid="{DD0EA6D3-BC8C-40D3-B12F-B88059C8E3DC}"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0"/>
    </customSheetView>
    <customSheetView guid="{B426F9F8-EB1A-4D7B-9478-7E22D414CC12}"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1"/>
    </customSheetView>
    <customSheetView guid="{13EBDE9D-EC74-4522-9EED-363E735B4A78}"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2"/>
    </customSheetView>
    <customSheetView guid="{AD504361-49F3-4986-BDBF-FB73E2299976}" scale="90" showPageBreaks="1" printArea="1" state="hidden" view="pageBreakPreview">
      <pane ySplit="2" topLeftCell="A3" activePane="bottomLeft" state="frozen"/>
      <selection pane="bottomLeft" activeCell="C3" sqref="C3:C13"/>
      <pageMargins left="0.7" right="0.7" top="0.75" bottom="0.75" header="0.3" footer="0.3"/>
      <pageSetup paperSize="9" scale="23" orientation="portrait" r:id="rId13"/>
    </customSheetView>
  </customSheetViews>
  <mergeCells count="5">
    <mergeCell ref="A3:A13"/>
    <mergeCell ref="M3:M13"/>
    <mergeCell ref="D3:D13"/>
    <mergeCell ref="C3:C13"/>
    <mergeCell ref="B3:B13"/>
  </mergeCells>
  <pageMargins left="0.7" right="0.7" top="0.75" bottom="0.75" header="0.3" footer="0.3"/>
  <pageSetup paperSize="9" scale="23" orientation="portrait"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S20"/>
  <sheetViews>
    <sheetView view="pageBreakPreview" zoomScale="110" zoomScaleNormal="100" zoomScaleSheetLayoutView="110" workbookViewId="0">
      <pane ySplit="2" topLeftCell="A3" activePane="bottomLeft" state="frozen"/>
      <selection pane="bottomLeft" activeCell="C3" sqref="C3:C12"/>
    </sheetView>
  </sheetViews>
  <sheetFormatPr defaultColWidth="21.42578125" defaultRowHeight="15" x14ac:dyDescent="0.25"/>
  <cols>
    <col min="1" max="1" width="12.5703125" style="2" customWidth="1"/>
    <col min="2" max="2" width="12.140625" style="2" customWidth="1"/>
    <col min="3" max="3" width="11" style="2" customWidth="1"/>
    <col min="4" max="4" width="14.28515625" style="2" bestFit="1" customWidth="1"/>
    <col min="5" max="5" width="41" style="2" customWidth="1"/>
    <col min="6" max="6" width="43.140625" style="2" customWidth="1"/>
    <col min="7" max="7" width="13.140625" style="2" customWidth="1"/>
    <col min="8" max="8" width="11.28515625" style="2" customWidth="1"/>
    <col min="9" max="9" width="30.7109375" style="2" customWidth="1"/>
    <col min="10" max="10" width="20.7109375" style="2" bestFit="1" customWidth="1"/>
    <col min="11" max="12" width="21" style="2" bestFit="1" customWidth="1"/>
    <col min="13" max="13" width="20" style="2" bestFit="1" customWidth="1"/>
    <col min="14" max="14" width="21" style="2" hidden="1" customWidth="1"/>
    <col min="15" max="15" width="21.42578125" style="2" hidden="1" customWidth="1"/>
    <col min="16" max="19" width="21.42578125" style="5"/>
    <col min="20" max="16384" width="21.42578125" style="2"/>
  </cols>
  <sheetData>
    <row r="1" spans="1:19" s="4" customFormat="1" ht="12" x14ac:dyDescent="0.25">
      <c r="A1" s="1">
        <v>2</v>
      </c>
      <c r="B1" s="1">
        <v>3</v>
      </c>
      <c r="C1" s="1">
        <v>6</v>
      </c>
      <c r="D1" s="1">
        <v>7</v>
      </c>
      <c r="E1" s="1">
        <v>8</v>
      </c>
      <c r="F1" s="1">
        <v>9</v>
      </c>
      <c r="G1" s="1">
        <v>10</v>
      </c>
      <c r="H1" s="1"/>
      <c r="I1" s="1">
        <v>11</v>
      </c>
      <c r="J1" s="1">
        <v>12</v>
      </c>
      <c r="K1" s="1">
        <v>13</v>
      </c>
      <c r="L1" s="1">
        <v>14</v>
      </c>
      <c r="M1" s="1">
        <v>15</v>
      </c>
      <c r="N1" s="1">
        <v>16</v>
      </c>
      <c r="O1" s="1">
        <v>17</v>
      </c>
    </row>
    <row r="2" spans="1:19" s="4" customFormat="1" ht="132" x14ac:dyDescent="0.25">
      <c r="A2" s="1" t="s">
        <v>265</v>
      </c>
      <c r="B2" s="1" t="s">
        <v>266</v>
      </c>
      <c r="C2" s="1" t="s">
        <v>267</v>
      </c>
      <c r="D2" s="1" t="s">
        <v>268</v>
      </c>
      <c r="E2" s="1" t="s">
        <v>269</v>
      </c>
      <c r="F2" s="1" t="s">
        <v>270</v>
      </c>
      <c r="G2" s="1" t="s">
        <v>271</v>
      </c>
      <c r="H2" s="1" t="s">
        <v>272</v>
      </c>
      <c r="I2" s="1" t="s">
        <v>273</v>
      </c>
      <c r="J2" s="1" t="s">
        <v>274</v>
      </c>
      <c r="K2" s="1" t="s">
        <v>275</v>
      </c>
      <c r="L2" s="1" t="s">
        <v>276</v>
      </c>
      <c r="M2" s="1" t="s">
        <v>277</v>
      </c>
      <c r="N2" s="1" t="s">
        <v>278</v>
      </c>
      <c r="O2" s="1" t="s">
        <v>279</v>
      </c>
    </row>
    <row r="3" spans="1:19" ht="120" x14ac:dyDescent="0.25">
      <c r="A3" s="445" t="s">
        <v>280</v>
      </c>
      <c r="B3" s="460" t="s">
        <v>281</v>
      </c>
      <c r="C3" s="456" t="s">
        <v>282</v>
      </c>
      <c r="D3" s="451" t="s">
        <v>283</v>
      </c>
      <c r="E3" s="22" t="s">
        <v>284</v>
      </c>
      <c r="F3" s="19" t="s">
        <v>285</v>
      </c>
      <c r="G3" s="78">
        <f>G5-G4</f>
        <v>27739403.999999989</v>
      </c>
      <c r="H3" s="78"/>
      <c r="I3" s="12" t="s">
        <v>286</v>
      </c>
      <c r="J3" s="30">
        <f>80/100*60/100*G5</f>
        <v>15130583.999999994</v>
      </c>
      <c r="K3" s="13" t="s">
        <v>287</v>
      </c>
      <c r="L3" s="88">
        <f>(224+93)/14*1.15*3</f>
        <v>78.117857142857133</v>
      </c>
      <c r="M3" s="458" t="s">
        <v>288</v>
      </c>
      <c r="N3" s="454"/>
      <c r="O3" s="455"/>
      <c r="P3" s="2"/>
      <c r="Q3" s="2"/>
      <c r="R3" s="2"/>
      <c r="S3" s="2"/>
    </row>
    <row r="4" spans="1:19" ht="48" x14ac:dyDescent="0.25">
      <c r="A4" s="446"/>
      <c r="B4" s="460"/>
      <c r="C4" s="457"/>
      <c r="D4" s="452"/>
      <c r="E4" s="10"/>
      <c r="F4" s="10" t="s">
        <v>289</v>
      </c>
      <c r="G4" s="78">
        <f>20/100*60/100*G5</f>
        <v>3782645.9999999986</v>
      </c>
      <c r="H4" s="78"/>
      <c r="I4" s="42"/>
      <c r="J4" s="85">
        <f>60/100*G5-J3-G4</f>
        <v>0</v>
      </c>
      <c r="K4" s="13"/>
      <c r="L4" s="38"/>
      <c r="M4" s="459"/>
      <c r="N4" s="454"/>
      <c r="O4" s="455"/>
      <c r="P4" s="2"/>
      <c r="Q4" s="2"/>
      <c r="R4" s="2"/>
      <c r="S4" s="2"/>
    </row>
    <row r="5" spans="1:19" ht="12" x14ac:dyDescent="0.25">
      <c r="A5" s="446"/>
      <c r="B5" s="460"/>
      <c r="C5" s="457"/>
      <c r="D5" s="452"/>
      <c r="E5" s="12"/>
      <c r="F5" s="41" t="s">
        <v>290</v>
      </c>
      <c r="G5" s="82">
        <f>60/100*'ОПНО_визия евро'!C4</f>
        <v>31522049.999999989</v>
      </c>
      <c r="H5" s="78"/>
      <c r="I5" s="11"/>
      <c r="J5" s="31"/>
      <c r="K5" s="13"/>
      <c r="L5" s="39"/>
      <c r="M5" s="459"/>
      <c r="N5" s="454"/>
      <c r="O5" s="455"/>
      <c r="P5" s="2"/>
      <c r="Q5" s="2"/>
      <c r="R5" s="2"/>
      <c r="S5" s="2"/>
    </row>
    <row r="6" spans="1:19" ht="72" x14ac:dyDescent="0.25">
      <c r="A6" s="446"/>
      <c r="B6" s="460"/>
      <c r="C6" s="457"/>
      <c r="D6" s="452"/>
      <c r="E6" s="24" t="s">
        <v>291</v>
      </c>
      <c r="F6" s="17" t="s">
        <v>292</v>
      </c>
      <c r="G6" s="82">
        <f>30/100*'ОПНО_визия евро'!C4</f>
        <v>15761024.999999994</v>
      </c>
      <c r="H6" s="82">
        <f>'ОПНО_визия евро'!B4-П3_Наука_Хоризонт!H11-П3_Наука_Хоризонт!H3</f>
        <v>7355144.9999999981</v>
      </c>
      <c r="I6" s="21" t="s">
        <v>293</v>
      </c>
      <c r="J6" s="32">
        <f>(210+359)/14*1.15*3+12*5</f>
        <v>200.21785714285716</v>
      </c>
      <c r="K6" s="13" t="s">
        <v>294</v>
      </c>
      <c r="L6" s="28">
        <f>(30+224)/14*1.15*3+12</f>
        <v>74.592857142857127</v>
      </c>
      <c r="M6" s="459"/>
      <c r="N6" s="454"/>
      <c r="O6" s="455"/>
      <c r="P6" s="2"/>
      <c r="Q6" s="2"/>
      <c r="R6" s="2"/>
      <c r="S6" s="2"/>
    </row>
    <row r="7" spans="1:19" ht="36" x14ac:dyDescent="0.25">
      <c r="A7" s="446"/>
      <c r="B7" s="460"/>
      <c r="C7" s="457"/>
      <c r="D7" s="452"/>
      <c r="E7" s="24" t="s">
        <v>295</v>
      </c>
      <c r="F7" s="19"/>
      <c r="G7" s="29"/>
      <c r="H7" s="29"/>
      <c r="I7" s="23" t="s">
        <v>296</v>
      </c>
      <c r="J7" s="33">
        <f>3*3+12</f>
        <v>21</v>
      </c>
      <c r="K7" s="13"/>
      <c r="L7" s="37"/>
      <c r="M7" s="459"/>
      <c r="N7" s="454"/>
      <c r="O7" s="455"/>
      <c r="P7" s="2"/>
      <c r="Q7" s="2"/>
      <c r="R7" s="2"/>
      <c r="S7" s="2"/>
    </row>
    <row r="8" spans="1:19" ht="36" x14ac:dyDescent="0.25">
      <c r="A8" s="446"/>
      <c r="B8" s="460"/>
      <c r="C8" s="457"/>
      <c r="D8" s="452"/>
      <c r="E8" s="19" t="s">
        <v>297</v>
      </c>
      <c r="F8" s="19"/>
      <c r="G8" s="29"/>
      <c r="H8" s="29"/>
      <c r="I8" s="21"/>
      <c r="J8" s="34"/>
      <c r="K8" s="13"/>
      <c r="L8" s="39"/>
      <c r="M8" s="459"/>
      <c r="N8" s="454"/>
      <c r="O8" s="455"/>
      <c r="P8" s="2"/>
      <c r="Q8" s="2"/>
      <c r="R8" s="2"/>
      <c r="S8" s="2"/>
    </row>
    <row r="9" spans="1:19" ht="60" x14ac:dyDescent="0.25">
      <c r="A9" s="446"/>
      <c r="B9" s="460"/>
      <c r="C9" s="457"/>
      <c r="D9" s="452"/>
      <c r="E9" s="19" t="s">
        <v>298</v>
      </c>
      <c r="F9" s="19"/>
      <c r="G9" s="29"/>
      <c r="H9" s="29"/>
      <c r="I9" s="21"/>
      <c r="J9" s="34"/>
      <c r="K9" s="13"/>
      <c r="L9" s="39"/>
      <c r="M9" s="459"/>
      <c r="N9" s="454"/>
      <c r="O9" s="455"/>
      <c r="P9" s="2"/>
      <c r="Q9" s="2"/>
      <c r="R9" s="2"/>
      <c r="S9" s="2"/>
    </row>
    <row r="10" spans="1:19" ht="60" x14ac:dyDescent="0.25">
      <c r="A10" s="446"/>
      <c r="B10" s="460"/>
      <c r="C10" s="457"/>
      <c r="D10" s="452"/>
      <c r="E10" s="20" t="s">
        <v>299</v>
      </c>
      <c r="F10" s="19"/>
      <c r="G10" s="29"/>
      <c r="H10" s="22"/>
      <c r="I10" s="21"/>
      <c r="J10" s="35"/>
      <c r="K10" s="13"/>
      <c r="L10" s="38"/>
      <c r="M10" s="459"/>
      <c r="N10" s="454"/>
      <c r="O10" s="455"/>
      <c r="P10" s="2"/>
      <c r="Q10" s="2"/>
      <c r="R10" s="2"/>
      <c r="S10" s="2"/>
    </row>
    <row r="11" spans="1:19" ht="48" x14ac:dyDescent="0.25">
      <c r="A11" s="446"/>
      <c r="B11" s="460"/>
      <c r="C11" s="457"/>
      <c r="D11" s="452"/>
      <c r="E11" s="24" t="s">
        <v>300</v>
      </c>
      <c r="F11" s="17" t="s">
        <v>301</v>
      </c>
      <c r="G11" s="82">
        <f>10/100*'ОПНО_визия евро'!C4</f>
        <v>5253674.9999999991</v>
      </c>
      <c r="H11" s="83">
        <f>60/100*G11</f>
        <v>3152204.9999999995</v>
      </c>
      <c r="I11" s="15" t="s">
        <v>302</v>
      </c>
      <c r="J11" s="35">
        <f>12*1</f>
        <v>12</v>
      </c>
      <c r="K11" s="13" t="s">
        <v>303</v>
      </c>
      <c r="L11" s="88">
        <f>50/100*L6</f>
        <v>37.296428571428564</v>
      </c>
      <c r="M11" s="459"/>
      <c r="N11" s="454"/>
      <c r="O11" s="455"/>
      <c r="P11" s="2"/>
      <c r="Q11" s="2"/>
      <c r="R11" s="2"/>
      <c r="S11" s="2"/>
    </row>
    <row r="12" spans="1:19" ht="24" x14ac:dyDescent="0.25">
      <c r="A12" s="446"/>
      <c r="B12" s="460"/>
      <c r="C12" s="457"/>
      <c r="D12" s="452"/>
      <c r="E12" s="19" t="s">
        <v>304</v>
      </c>
      <c r="F12" s="19"/>
      <c r="G12" s="29"/>
      <c r="H12" s="40"/>
      <c r="I12" s="16"/>
      <c r="J12" s="33"/>
      <c r="K12" s="13"/>
      <c r="L12" s="39"/>
      <c r="M12" s="459"/>
      <c r="N12" s="454"/>
    </row>
    <row r="13" spans="1:19" ht="72" x14ac:dyDescent="0.25">
      <c r="E13" s="19" t="s">
        <v>305</v>
      </c>
      <c r="F13" s="19"/>
      <c r="G13" s="29"/>
      <c r="H13" s="40"/>
      <c r="I13" s="21"/>
      <c r="J13" s="34"/>
      <c r="K13" s="13"/>
      <c r="L13" s="39"/>
    </row>
    <row r="14" spans="1:19" x14ac:dyDescent="0.25">
      <c r="E14" s="19" t="s">
        <v>306</v>
      </c>
      <c r="F14" s="19"/>
      <c r="G14" s="29"/>
      <c r="H14" s="40"/>
      <c r="I14" s="21"/>
      <c r="J14" s="34"/>
      <c r="K14" s="13"/>
      <c r="L14" s="39"/>
    </row>
    <row r="15" spans="1:19" x14ac:dyDescent="0.25">
      <c r="E15" s="18" t="s">
        <v>307</v>
      </c>
      <c r="F15" s="81"/>
      <c r="G15" s="39"/>
      <c r="H15" s="84"/>
      <c r="I15" s="25"/>
      <c r="J15" s="34"/>
      <c r="K15" s="13"/>
      <c r="L15" s="38"/>
    </row>
    <row r="16" spans="1:19" x14ac:dyDescent="0.25">
      <c r="E16" s="79"/>
      <c r="F16" s="20"/>
      <c r="G16" s="22"/>
      <c r="H16" s="80"/>
      <c r="I16" s="25"/>
      <c r="J16" s="32"/>
      <c r="K16" s="13"/>
      <c r="L16" s="39"/>
    </row>
    <row r="17" spans="6:7" x14ac:dyDescent="0.25">
      <c r="F17" s="90" t="s">
        <v>308</v>
      </c>
      <c r="G17" s="87">
        <f>G11+G6</f>
        <v>21014699.999999993</v>
      </c>
    </row>
    <row r="18" spans="6:7" ht="15.75" thickBot="1" x14ac:dyDescent="0.3"/>
    <row r="19" spans="6:7" x14ac:dyDescent="0.25">
      <c r="F19" s="110" t="s">
        <v>309</v>
      </c>
      <c r="G19" s="97">
        <v>3</v>
      </c>
    </row>
    <row r="20" spans="6:7" ht="15.75" thickBot="1" x14ac:dyDescent="0.3">
      <c r="F20" s="94" t="s">
        <v>310</v>
      </c>
      <c r="G20" s="98">
        <f>G17/70*100*1.95583/5000000</f>
        <v>11.743194485999995</v>
      </c>
    </row>
  </sheetData>
  <customSheetViews>
    <customSheetView guid="{32A281B9-28FB-4D0E-8C01-BFBADAC8C3C9}"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
    </customSheetView>
    <customSheetView guid="{77799D3C-38E2-410A-80FA-AECD8E6AB89B}"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2"/>
    </customSheetView>
    <customSheetView guid="{6B77031E-918C-40F9-A42D-E4EA46622624}"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3"/>
    </customSheetView>
    <customSheetView guid="{DE419AE1-55C7-41E8-9A94-E4062EF3097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4"/>
    </customSheetView>
    <customSheetView guid="{56BC42A3-D967-4F27-BD5A-CB0B8CB7F657}"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5"/>
    </customSheetView>
    <customSheetView guid="{D1BD168D-40B4-46AB-88B7-64C22520CFA0}"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6"/>
    </customSheetView>
    <customSheetView guid="{2A6315F5-C9A2-43A7-B337-00FD30A3EB26}"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7"/>
    </customSheetView>
    <customSheetView guid="{E07B67F4-8A17-4050-B9B8-81977BCB02E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8"/>
    </customSheetView>
    <customSheetView guid="{9CD5F6CE-0E1C-42DA-A598-93523B740CB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9"/>
    </customSheetView>
    <customSheetView guid="{72B67681-E295-44ED-80A6-F4B618B242B1}" scale="110" showPageBreaks="1" state="hidden" view="pageBreakPreview">
      <pane ySplit="2" topLeftCell="A3" activePane="bottomLeft" state="frozen"/>
      <selection pane="bottomLeft" activeCell="C3" sqref="C3:C12"/>
    </customSheetView>
    <customSheetView guid="{DD0EA6D3-BC8C-40D3-B12F-B88059C8E3DC}"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0"/>
    </customSheetView>
    <customSheetView guid="{B426F9F8-EB1A-4D7B-9478-7E22D414CC12}"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1"/>
    </customSheetView>
    <customSheetView guid="{13EBDE9D-EC74-4522-9EED-363E735B4A78}" scale="110" showPageBreaks="1" printArea="1" hiddenColumns="1" state="hidden" view="pageBreakPreview">
      <pane ySplit="2" topLeftCell="A3" activePane="bottomLeft" state="frozen"/>
      <selection pane="bottomLeft" activeCell="C3" sqref="C3:C12"/>
      <pageMargins left="0.7" right="0.7" top="0.75" bottom="0.75" header="0.3" footer="0.3"/>
      <pageSetup paperSize="9" scale="23" orientation="portrait" r:id="rId12"/>
    </customSheetView>
    <customSheetView guid="{AD504361-49F3-4986-BDBF-FB73E2299976}" scale="110" showPageBreaks="1" printArea="1" hiddenColumns="1" state="hidden" view="pageBreakPreview">
      <pane ySplit="1" topLeftCell="A3" activePane="bottomLeft" state="frozen"/>
      <selection pane="bottomLeft" activeCell="C3" sqref="C3:C12"/>
      <pageMargins left="0.7" right="0.7" top="0.75" bottom="0.75" header="0.3" footer="0.3"/>
      <pageSetup paperSize="9" scale="23" orientation="portrait" r:id="rId13"/>
    </customSheetView>
  </customSheetViews>
  <mergeCells count="7">
    <mergeCell ref="N3:N12"/>
    <mergeCell ref="O3:O11"/>
    <mergeCell ref="D3:D12"/>
    <mergeCell ref="C3:C12"/>
    <mergeCell ref="A3:A12"/>
    <mergeCell ref="M3:M12"/>
    <mergeCell ref="B3:B12"/>
  </mergeCells>
  <pageMargins left="0.7" right="0.7" top="0.75" bottom="0.75" header="0.3" footer="0.3"/>
  <pageSetup paperSize="9" scale="23" orientation="portrait"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Финансови бюджетни </vt:lpstr>
      <vt:lpstr>Финансов план на ПТП</vt:lpstr>
      <vt:lpstr>ОПНО_визия евро</vt:lpstr>
      <vt:lpstr>ПОКАЗАТЕЛИ ПТП </vt:lpstr>
      <vt:lpstr>Подробно разпределение </vt:lpstr>
      <vt:lpstr>работен</vt:lpstr>
      <vt:lpstr>П3_Наука_Инфраструктура</vt:lpstr>
      <vt:lpstr>П3_Наука Изследвания</vt:lpstr>
      <vt:lpstr>П3_Наука_Хоризонт</vt:lpstr>
      <vt:lpstr>'Финансов план на ПТП'!_ftnref1</vt:lpstr>
      <vt:lpstr>'ОПНО_визия евро'!Print_Area</vt:lpstr>
      <vt:lpstr>'П3_Наука Изследвания'!Print_Area</vt:lpstr>
      <vt:lpstr>П3_Наука_Инфраструктура!Print_Area</vt:lpstr>
      <vt:lpstr>П3_Наука_Хоризонт!Print_Area</vt:lpstr>
      <vt:lpstr>'ПОКАЗАТЕЛИ ПТП '!Print_Area</vt:lpstr>
      <vt:lpstr>'Финансов план на ПТП'!Print_Area</vt:lpstr>
      <vt:lpstr>'Финансови бюджетни '!Print_Area</vt:lpstr>
    </vt:vector>
  </TitlesOfParts>
  <Company>MON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Popov</dc:creator>
  <cp:lastModifiedBy>Даниела Николова</cp:lastModifiedBy>
  <cp:lastPrinted>2022-07-18T13:03:02Z</cp:lastPrinted>
  <dcterms:created xsi:type="dcterms:W3CDTF">2019-11-22T10:11:00Z</dcterms:created>
  <dcterms:modified xsi:type="dcterms:W3CDTF">2022-09-13T13:41:43Z</dcterms:modified>
</cp:coreProperties>
</file>