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TAP\COMMUNICATION\PRESS\2025-06-05_Изменение на ПТП 2.0\"/>
    </mc:Choice>
  </mc:AlternateContent>
  <bookViews>
    <workbookView xWindow="0" yWindow="0" windowWidth="23040" windowHeight="9210" tabRatio="782" activeTab="3"/>
  </bookViews>
  <sheets>
    <sheet name="Финансови бюджетни " sheetId="1" r:id="rId1"/>
    <sheet name="Финансов план на ПТП" sheetId="2" r:id="rId2"/>
    <sheet name="ОПНО_визия евро" sheetId="3" state="hidden" r:id="rId3"/>
    <sheet name="ПОКАЗАТЕЛИ ПТП " sheetId="4" r:id="rId4"/>
    <sheet name="Подробно разпределение " sheetId="5" r:id="rId5"/>
    <sheet name="работен" sheetId="6" state="hidden" r:id="rId6"/>
    <sheet name="П3_Наука_Инфраструктура" sheetId="7" state="hidden" r:id="rId7"/>
    <sheet name="П3_Наука Изследвания" sheetId="8" state="hidden" r:id="rId8"/>
    <sheet name="П3_Наука_Хоризонт" sheetId="9" state="hidden" r:id="rId9"/>
  </sheets>
  <definedNames>
    <definedName name="_xlnm._FilterDatabase" localSheetId="4" hidden="1">'Подробно разпределение '!$A$2:$AD$24</definedName>
    <definedName name="_xlnm._FilterDatabase" localSheetId="3" hidden="1">'ПОКАЗАТЕЛИ ПТП '!$A$1:$M$73</definedName>
    <definedName name="_ftn1" localSheetId="3">'ПОКАЗАТЕЛИ ПТП '!#REF!</definedName>
    <definedName name="_ftnref1" localSheetId="1">'Финансов план на ПТП'!$A$24</definedName>
    <definedName name="_xlnm.Print_Area" localSheetId="2">'ОПНО_визия евро'!$A$1:$O$30</definedName>
    <definedName name="_xlnm.Print_Area" localSheetId="7">'П3_Наука Изследвания'!$A$1:$M$14</definedName>
    <definedName name="_xlnm.Print_Area" localSheetId="6">П3_Наука_Инфраструктура!$A$1:$L$16</definedName>
    <definedName name="_xlnm.Print_Area" localSheetId="8">П3_Наука_Хоризонт!$A$1:$M$18</definedName>
    <definedName name="_xlnm.Print_Area" localSheetId="3">'ПОКАЗАТЕЛИ ПТП '!$A$1:$S$65</definedName>
    <definedName name="_xlnm.Print_Area" localSheetId="1">'Финансов план на ПТП'!$A$2:$M$18</definedName>
    <definedName name="_xlnm.Print_Area" localSheetId="0">'Финансови бюджетни '!$A$4:$L$8</definedName>
    <definedName name="result.jsf?x_2_805" localSheetId="5">работен!#REF!</definedName>
    <definedName name="Z_008ABF53_164D_4C5B_BA98_868C9AB74E7A_.wvu.FilterData" localSheetId="3" hidden="1">'ПОКАЗАТЕЛИ ПТП '!$A$1:$M$65</definedName>
    <definedName name="Z_042EB648_82BC_4224_BE18_E23E37019127_.wvu.FilterData" localSheetId="3" hidden="1">'ПОКАЗАТЕЛИ ПТП '!$A$1:$M$65</definedName>
    <definedName name="Z_076F3EBE_351B_40E7_B497_75BD777031D1_.wvu.FilterData" localSheetId="3" hidden="1">'ПОКАЗАТЕЛИ ПТП '!$A$1:$M$73</definedName>
    <definedName name="Z_0B483FC7_B634_4102_9054_FF702DF2D16D_.wvu.FilterData" localSheetId="3" hidden="1">'ПОКАЗАТЕЛИ ПТП '!$A$1:$M$65</definedName>
    <definedName name="Z_0C97AF8D_7C80_4D3A_884E_0BB39D941EA8_.wvu.FilterData" localSheetId="3" hidden="1">'ПОКАЗАТЕЛИ ПТП '!$A$1:$M$65</definedName>
    <definedName name="Z_0CC29DAA_CB45_4ECC_AEC6_24DC9DBF66F4_.wvu.FilterData" localSheetId="3" hidden="1">'ПОКАЗАТЕЛИ ПТП '!$A$1:$M$65</definedName>
    <definedName name="Z_0D9D0AF2_9ABA_40E6_B191_B3B1008D0E0A_.wvu.FilterData" localSheetId="3" hidden="1">'ПОКАЗАТЕЛИ ПТП '!$A$1:$M$65</definedName>
    <definedName name="Z_0F284C65_6180_4150_9970_738EE7A62FB9_.wvu.FilterData" localSheetId="3" hidden="1">'ПОКАЗАТЕЛИ ПТП '!$A$1:$F$65</definedName>
    <definedName name="Z_12034DF3_5272_494A_9232_51EF03EB9FD6_.wvu.FilterData" localSheetId="3" hidden="1">'ПОКАЗАТЕЛИ ПТП '!$A$1:$M$65</definedName>
    <definedName name="Z_13EBDE9D_EC74_4522_9EED_363E735B4A78_.wvu.Cols" localSheetId="8" hidden="1">П3_Наука_Хоризонт!$N:$O</definedName>
    <definedName name="Z_13EBDE9D_EC74_4522_9EED_363E735B4A78_.wvu.FilterData" localSheetId="4" hidden="1">'Подробно разпределение '!$A$2:$AD$24</definedName>
    <definedName name="Z_13EBDE9D_EC74_4522_9EED_363E735B4A78_.wvu.FilterData" localSheetId="3" hidden="1">'ПОКАЗАТЕЛИ ПТП '!$A$1:$M$73</definedName>
    <definedName name="Z_13EBDE9D_EC74_4522_9EED_363E735B4A78_.wvu.PrintArea" localSheetId="2" hidden="1">'ОПНО_визия евро'!$A$1:$O$30</definedName>
    <definedName name="Z_13EBDE9D_EC74_4522_9EED_363E735B4A78_.wvu.PrintArea" localSheetId="7" hidden="1">'П3_Наука Изследвания'!$A$1:$M$14</definedName>
    <definedName name="Z_13EBDE9D_EC74_4522_9EED_363E735B4A78_.wvu.PrintArea" localSheetId="6" hidden="1">П3_Наука_Инфраструктура!$A$1:$L$16</definedName>
    <definedName name="Z_13EBDE9D_EC74_4522_9EED_363E735B4A78_.wvu.PrintArea" localSheetId="8" hidden="1">П3_Наука_Хоризонт!$A$1:$M$18</definedName>
    <definedName name="Z_13EBDE9D_EC74_4522_9EED_363E735B4A78_.wvu.PrintArea" localSheetId="3" hidden="1">'ПОКАЗАТЕЛИ ПТП '!$A$1:$S$65</definedName>
    <definedName name="Z_13EBDE9D_EC74_4522_9EED_363E735B4A78_.wvu.PrintArea" localSheetId="1" hidden="1">'Финансов план на ПТП'!$A$2:$M$18</definedName>
    <definedName name="Z_13EBDE9D_EC74_4522_9EED_363E735B4A78_.wvu.PrintArea" localSheetId="0" hidden="1">'Финансови бюджетни '!$A$4:$L$8</definedName>
    <definedName name="Z_145F2F6D_8F9C_4454_A0C6_DC4412ADDAB8_.wvu.FilterData" localSheetId="3" hidden="1">'ПОКАЗАТЕЛИ ПТП '!$A$1:$M$65</definedName>
    <definedName name="Z_15037349_416B_47B2_A085_519110C7C71D_.wvu.FilterData" localSheetId="3" hidden="1">'ПОКАЗАТЕЛИ ПТП '!$A$1:$M$65</definedName>
    <definedName name="Z_15A0B67B_444A_4BE4_B884_AC45439F2049_.wvu.FilterData" localSheetId="3" hidden="1">'ПОКАЗАТЕЛИ ПТП '!$A$1:$M$65</definedName>
    <definedName name="Z_185D5A4C_202F_4232_A5A2_CC2DAAA668F2_.wvu.FilterData" localSheetId="3" hidden="1">'ПОКАЗАТЕЛИ ПТП '!$A$1:$M$65</definedName>
    <definedName name="Z_19B2FE13_4ADE_46F6_A7FC_A6C8743715E4_.wvu.FilterData" localSheetId="3" hidden="1">'ПОКАЗАТЕЛИ ПТП '!$A$1:$M$73</definedName>
    <definedName name="Z_1BD32DC5_9A08_4A56_B88A_ADFACE5C3CDF_.wvu.FilterData" localSheetId="3" hidden="1">'ПОКАЗАТЕЛИ ПТП '!$A$1:$M$65</definedName>
    <definedName name="Z_21066EB9_DD75_47B4_8A3E_94154F74F4CD_.wvu.FilterData" localSheetId="3" hidden="1">'ПОКАЗАТЕЛИ ПТП '!$A$1:$M$65</definedName>
    <definedName name="Z_259EE139_4126_4E29_9864_DD4E8352A150_.wvu.FilterData" localSheetId="3" hidden="1">'ПОКАЗАТЕЛИ ПТП '!$A$1:$M$65</definedName>
    <definedName name="Z_261BF8DF_488A_4B87_9FD5_F26014C63E8B_.wvu.FilterData" localSheetId="3" hidden="1">'ПОКАЗАТЕЛИ ПТП '!$A$1:$M$65</definedName>
    <definedName name="Z_2A6315F5_C9A2_43A7_B337_00FD30A3EB26_.wvu.Cols" localSheetId="8" hidden="1">П3_Наука_Хоризонт!$N:$O</definedName>
    <definedName name="Z_2A6315F5_C9A2_43A7_B337_00FD30A3EB26_.wvu.FilterData" localSheetId="3" hidden="1">'ПОКАЗАТЕЛИ ПТП '!$A$1:$F$65</definedName>
    <definedName name="Z_2A6315F5_C9A2_43A7_B337_00FD30A3EB26_.wvu.PrintArea" localSheetId="2" hidden="1">'ОПНО_визия евро'!$A$1:$O$30</definedName>
    <definedName name="Z_2A6315F5_C9A2_43A7_B337_00FD30A3EB26_.wvu.PrintArea" localSheetId="7" hidden="1">'П3_Наука Изследвания'!$A$1:$M$14</definedName>
    <definedName name="Z_2A6315F5_C9A2_43A7_B337_00FD30A3EB26_.wvu.PrintArea" localSheetId="6" hidden="1">П3_Наука_Инфраструктура!$A$1:$L$16</definedName>
    <definedName name="Z_2A6315F5_C9A2_43A7_B337_00FD30A3EB26_.wvu.PrintArea" localSheetId="8" hidden="1">П3_Наука_Хоризонт!$A$1:$M$18</definedName>
    <definedName name="Z_2A6315F5_C9A2_43A7_B337_00FD30A3EB26_.wvu.PrintArea" localSheetId="3" hidden="1">'ПОКАЗАТЕЛИ ПТП '!$A$1:$F$65</definedName>
    <definedName name="Z_2A6315F5_C9A2_43A7_B337_00FD30A3EB26_.wvu.PrintArea" localSheetId="1" hidden="1">'Финансов план на ПТП'!$A$2:$M$18</definedName>
    <definedName name="Z_2A6315F5_C9A2_43A7_B337_00FD30A3EB26_.wvu.PrintArea" localSheetId="0" hidden="1">'Финансови бюджетни '!$A$4:$L$8</definedName>
    <definedName name="Z_2D89472C_6FA3_4F06_B286_03FBC9227214_.wvu.FilterData" localSheetId="3" hidden="1">'ПОКАЗАТЕЛИ ПТП '!$A$1:$M$65</definedName>
    <definedName name="Z_2E4D13C6_37F9_4995_96E1_27C1A960A6D4_.wvu.FilterData" localSheetId="3" hidden="1">'ПОКАЗАТЕЛИ ПТП '!$A$1:$M$65</definedName>
    <definedName name="Z_2FDFD1F9_CAA9_4788_BC6B_22023547642F_.wvu.FilterData" localSheetId="3" hidden="1">'ПОКАЗАТЕЛИ ПТП '!$A$1:$M$65</definedName>
    <definedName name="Z_32A281B9_28FB_4D0E_8C01_BFBADAC8C3C9_.wvu.Cols" localSheetId="8" hidden="1">П3_Наука_Хоризонт!$N:$O</definedName>
    <definedName name="Z_32A281B9_28FB_4D0E_8C01_BFBADAC8C3C9_.wvu.Cols" localSheetId="3" hidden="1">'ПОКАЗАТЕЛИ ПТП '!$B:$D,'ПОКАЗАТЕЛИ ПТП '!$F:$F</definedName>
    <definedName name="Z_32A281B9_28FB_4D0E_8C01_BFBADAC8C3C9_.wvu.FilterData" localSheetId="4" hidden="1">'Подробно разпределение '!$A$2:$AD$24</definedName>
    <definedName name="Z_32A281B9_28FB_4D0E_8C01_BFBADAC8C3C9_.wvu.FilterData" localSheetId="3" hidden="1">'ПОКАЗАТЕЛИ ПТП '!$A$1:$M$73</definedName>
    <definedName name="Z_32A281B9_28FB_4D0E_8C01_BFBADAC8C3C9_.wvu.PrintArea" localSheetId="2" hidden="1">'ОПНО_визия евро'!$A$1:$O$30</definedName>
    <definedName name="Z_32A281B9_28FB_4D0E_8C01_BFBADAC8C3C9_.wvu.PrintArea" localSheetId="7" hidden="1">'П3_Наука Изследвания'!$A$1:$M$14</definedName>
    <definedName name="Z_32A281B9_28FB_4D0E_8C01_BFBADAC8C3C9_.wvu.PrintArea" localSheetId="6" hidden="1">П3_Наука_Инфраструктура!$A$1:$L$16</definedName>
    <definedName name="Z_32A281B9_28FB_4D0E_8C01_BFBADAC8C3C9_.wvu.PrintArea" localSheetId="8" hidden="1">П3_Наука_Хоризонт!$A$1:$M$18</definedName>
    <definedName name="Z_32A281B9_28FB_4D0E_8C01_BFBADAC8C3C9_.wvu.PrintArea" localSheetId="3" hidden="1">'ПОКАЗАТЕЛИ ПТП '!$A$1:$L$75</definedName>
    <definedName name="Z_32A281B9_28FB_4D0E_8C01_BFBADAC8C3C9_.wvu.PrintArea" localSheetId="1" hidden="1">'Финансов план на ПТП'!$A$2:$M$18</definedName>
    <definedName name="Z_32A281B9_28FB_4D0E_8C01_BFBADAC8C3C9_.wvu.PrintArea" localSheetId="0" hidden="1">'Финансови бюджетни '!$A$4:$L$8</definedName>
    <definedName name="Z_32A281B9_28FB_4D0E_8C01_BFBADAC8C3C9_.wvu.Rows" localSheetId="4" hidden="1">'Подробно разпределение '!$3:$12</definedName>
    <definedName name="Z_33934842_EF95_4E88_877F_758AD2A4D4D0_.wvu.FilterData" localSheetId="3" hidden="1">'ПОКАЗАТЕЛИ ПТП '!$A$1:$M$65</definedName>
    <definedName name="Z_3542DC62_8B17_4771_8CD4_EC4D5976F83F_.wvu.FilterData" localSheetId="3" hidden="1">'ПОКАЗАТЕЛИ ПТП '!$A$1:$M$65</definedName>
    <definedName name="Z_35D4AF83_4544_40E7_9B86_06957E47EADA_.wvu.FilterData" localSheetId="3" hidden="1">'ПОКАЗАТЕЛИ ПТП '!$A$1:$M$73</definedName>
    <definedName name="Z_38511207_ABF2_41F4_A20A_B7A537CE4931_.wvu.FilterData" localSheetId="3" hidden="1">'ПОКАЗАТЕЛИ ПТП '!$A$1:$M$65</definedName>
    <definedName name="Z_3A6DB9D9_5330_452D_8F5E_7E32B3EA3555_.wvu.FilterData" localSheetId="3" hidden="1">'ПОКАЗАТЕЛИ ПТП '!$A$1:$M$65</definedName>
    <definedName name="Z_400D726E_022B_40A1_82A9_00F5B6FC1B14_.wvu.FilterData" localSheetId="4" hidden="1">'Подробно разпределение '!$A$2:$AD$24</definedName>
    <definedName name="Z_44C2A125_6E47_4224_AD84_727CF0E61F69_.wvu.FilterData" localSheetId="3" hidden="1">'ПОКАЗАТЕЛИ ПТП '!$A$1:$M$65</definedName>
    <definedName name="Z_44ED0E52_D049_4834_BFF1_52C0F93E789F_.wvu.FilterData" localSheetId="3" hidden="1">'ПОКАЗАТЕЛИ ПТП '!$A$1:$M$65</definedName>
    <definedName name="Z_450731DB_4BF9_4C9E_BDB4_C26D40562C68_.wvu.FilterData" localSheetId="3" hidden="1">'ПОКАЗАТЕЛИ ПТП '!$A$1:$M$65</definedName>
    <definedName name="Z_46A1F39A_22E7_4B48_903F_3893C818F1C6_.wvu.FilterData" localSheetId="3" hidden="1">'ПОКАЗАТЕЛИ ПТП '!$A$1:$M$65</definedName>
    <definedName name="Z_478865FB_599C_4C08_B032_427D6B351E57_.wvu.FilterData" localSheetId="3" hidden="1">'ПОКАЗАТЕЛИ ПТП '!$A$1:$F$65</definedName>
    <definedName name="Z_482EE438_5A4D_47B6_8226_D81C53B1B63E_.wvu.FilterData" localSheetId="3" hidden="1">'ПОКАЗАТЕЛИ ПТП '!$A$1:$M$73</definedName>
    <definedName name="Z_4B76E996_E18A_4D36_9A80_B1281B72C0DD_.wvu.FilterData" localSheetId="3" hidden="1">'ПОКАЗАТЕЛИ ПТП '!$A$1:$M$73</definedName>
    <definedName name="Z_4BB0384E_0437_4789_8DE5_FCBF7515AB0F_.wvu.FilterData" localSheetId="3" hidden="1">'ПОКАЗАТЕЛИ ПТП '!$A$1:$M$65</definedName>
    <definedName name="Z_4C25F96D_2B28_4301_92A1_E2682EC0223B_.wvu.FilterData" localSheetId="3" hidden="1">'ПОКАЗАТЕЛИ ПТП '!$A$1:$F$65</definedName>
    <definedName name="Z_4E01AB9E_03A5_44D2_9D9C_890FF04B5AD8_.wvu.FilterData" localSheetId="3" hidden="1">'ПОКАЗАТЕЛИ ПТП '!$A$1:$M$65</definedName>
    <definedName name="Z_508EDACC_2A92_47E6_91D4_24FD126F7EE3_.wvu.FilterData" localSheetId="3" hidden="1">'ПОКАЗАТЕЛИ ПТП '!$A$1:$M$65</definedName>
    <definedName name="Z_539634CF_44A3_4428_8D5D_280293A38ACF_.wvu.FilterData" localSheetId="3" hidden="1">'ПОКАЗАТЕЛИ ПТП '!$A$1:$M$65</definedName>
    <definedName name="Z_53A95ABA_92F3_4325_87CC_0C68A48FAF1F_.wvu.FilterData" localSheetId="3" hidden="1">'ПОКАЗАТЕЛИ ПТП '!$A$1:$M$65</definedName>
    <definedName name="Z_53CF95D2_2F99_49E8_AB7F_7627DCDE0DC8_.wvu.Cols" localSheetId="8" hidden="1">П3_Наука_Хоризонт!$N:$O</definedName>
    <definedName name="Z_53CF95D2_2F99_49E8_AB7F_7627DCDE0DC8_.wvu.FilterData" localSheetId="3" hidden="1">'ПОКАЗАТЕЛИ ПТП '!$A$1:$M$73</definedName>
    <definedName name="Z_53CF95D2_2F99_49E8_AB7F_7627DCDE0DC8_.wvu.PrintArea" localSheetId="2" hidden="1">'ОПНО_визия евро'!$A$1:$O$30</definedName>
    <definedName name="Z_53CF95D2_2F99_49E8_AB7F_7627DCDE0DC8_.wvu.PrintArea" localSheetId="7" hidden="1">'П3_Наука Изследвания'!$A$1:$M$14</definedName>
    <definedName name="Z_53CF95D2_2F99_49E8_AB7F_7627DCDE0DC8_.wvu.PrintArea" localSheetId="6" hidden="1">П3_Наука_Инфраструктура!$A$1:$L$16</definedName>
    <definedName name="Z_53CF95D2_2F99_49E8_AB7F_7627DCDE0DC8_.wvu.PrintArea" localSheetId="8" hidden="1">П3_Наука_Хоризонт!$A$1:$M$18</definedName>
    <definedName name="Z_53CF95D2_2F99_49E8_AB7F_7627DCDE0DC8_.wvu.PrintArea" localSheetId="3" hidden="1">'ПОКАЗАТЕЛИ ПТП '!$A$1:$L$75</definedName>
    <definedName name="Z_53CF95D2_2F99_49E8_AB7F_7627DCDE0DC8_.wvu.PrintArea" localSheetId="1" hidden="1">'Финансов план на ПТП'!$A$2:$M$18</definedName>
    <definedName name="Z_53CF95D2_2F99_49E8_AB7F_7627DCDE0DC8_.wvu.PrintArea" localSheetId="0" hidden="1">'Финансови бюджетни '!$A$4:$L$8</definedName>
    <definedName name="Z_56BC42A3_D967_4F27_BD5A_CB0B8CB7F657_.wvu.Cols" localSheetId="8" hidden="1">П3_Наука_Хоризонт!$N:$O</definedName>
    <definedName name="Z_56BC42A3_D967_4F27_BD5A_CB0B8CB7F657_.wvu.FilterData" localSheetId="3" hidden="1">'ПОКАЗАТЕЛИ ПТП '!$A$1:$M$65</definedName>
    <definedName name="Z_56BC42A3_D967_4F27_BD5A_CB0B8CB7F657_.wvu.PrintArea" localSheetId="2" hidden="1">'ОПНО_визия евро'!$A$1:$O$30</definedName>
    <definedName name="Z_56BC42A3_D967_4F27_BD5A_CB0B8CB7F657_.wvu.PrintArea" localSheetId="7" hidden="1">'П3_Наука Изследвания'!$A$1:$M$14</definedName>
    <definedName name="Z_56BC42A3_D967_4F27_BD5A_CB0B8CB7F657_.wvu.PrintArea" localSheetId="6" hidden="1">П3_Наука_Инфраструктура!$A$1:$L$16</definedName>
    <definedName name="Z_56BC42A3_D967_4F27_BD5A_CB0B8CB7F657_.wvu.PrintArea" localSheetId="8" hidden="1">П3_Наука_Хоризонт!$A$1:$M$18</definedName>
    <definedName name="Z_56BC42A3_D967_4F27_BD5A_CB0B8CB7F657_.wvu.PrintArea" localSheetId="3" hidden="1">'ПОКАЗАТЕЛИ ПТП '!$A$1:$F$65</definedName>
    <definedName name="Z_56BC42A3_D967_4F27_BD5A_CB0B8CB7F657_.wvu.PrintArea" localSheetId="1" hidden="1">'Финансов план на ПТП'!$A$2:$M$18</definedName>
    <definedName name="Z_56BC42A3_D967_4F27_BD5A_CB0B8CB7F657_.wvu.PrintArea" localSheetId="0" hidden="1">'Финансови бюджетни '!$A$4:$L$8</definedName>
    <definedName name="Z_594063B7_0116_4985_9B71_4712FA8932F2_.wvu.FilterData" localSheetId="3" hidden="1">'ПОКАЗАТЕЛИ ПТП '!$A$1:$M$65</definedName>
    <definedName name="Z_59556E99_6985_48CB_9B1C_3F9D4BC561CE_.wvu.FilterData" localSheetId="3" hidden="1">'ПОКАЗАТЕЛИ ПТП '!$A$1:$F$65</definedName>
    <definedName name="Z_59C92782_F552_4F83_88F2_58AD0899CA3F_.wvu.FilterData" localSheetId="3" hidden="1">'ПОКАЗАТЕЛИ ПТП '!$A$1:$F$65</definedName>
    <definedName name="Z_5F3C4B6F_44D6_43BD_BE64_BC56B66D339E_.wvu.FilterData" localSheetId="3" hidden="1">'ПОКАЗАТЕЛИ ПТП '!$A$1:$M$65</definedName>
    <definedName name="Z_60392FDC_0979_4005_8F6B_4B6A89DCED03_.wvu.FilterData" localSheetId="3" hidden="1">'ПОКАЗАТЕЛИ ПТП '!$A$1:$M$65</definedName>
    <definedName name="Z_60786D3F_F644_47DC_B85B_1DC39C92BC6A_.wvu.FilterData" localSheetId="3" hidden="1">'ПОКАЗАТЕЛИ ПТП '!$A$1:$M$65</definedName>
    <definedName name="Z_60ABE2B3_B68E_4D05_9061_183F6B2424F3_.wvu.FilterData" localSheetId="3" hidden="1">'ПОКАЗАТЕЛИ ПТП '!$A$1:$M$65</definedName>
    <definedName name="Z_616E1976_58DE_4466_8922_C10B7D674852_.wvu.FilterData" localSheetId="3" hidden="1">'ПОКАЗАТЕЛИ ПТП '!$A$1:$M$65</definedName>
    <definedName name="Z_688CB038_F282_4990_A834_4AD321619C8C_.wvu.FilterData" localSheetId="3" hidden="1">'ПОКАЗАТЕЛИ ПТП '!$A$1:$M$65</definedName>
    <definedName name="Z_6B77031E_918C_40F9_A42D_E4EA46622624_.wvu.Cols" localSheetId="8" hidden="1">П3_Наука_Хоризонт!$N:$O</definedName>
    <definedName name="Z_6B77031E_918C_40F9_A42D_E4EA46622624_.wvu.FilterData" localSheetId="3" hidden="1">'ПОКАЗАТЕЛИ ПТП '!$A$1:$M$73</definedName>
    <definedName name="Z_6B77031E_918C_40F9_A42D_E4EA46622624_.wvu.PrintArea" localSheetId="2" hidden="1">'ОПНО_визия евро'!$A$1:$O$30</definedName>
    <definedName name="Z_6B77031E_918C_40F9_A42D_E4EA46622624_.wvu.PrintArea" localSheetId="7" hidden="1">'П3_Наука Изследвания'!$A$1:$M$14</definedName>
    <definedName name="Z_6B77031E_918C_40F9_A42D_E4EA46622624_.wvu.PrintArea" localSheetId="6" hidden="1">П3_Наука_Инфраструктура!$A$1:$L$16</definedName>
    <definedName name="Z_6B77031E_918C_40F9_A42D_E4EA46622624_.wvu.PrintArea" localSheetId="8" hidden="1">П3_Наука_Хоризонт!$A$1:$M$18</definedName>
    <definedName name="Z_6B77031E_918C_40F9_A42D_E4EA46622624_.wvu.PrintArea" localSheetId="3" hidden="1">'ПОКАЗАТЕЛИ ПТП '!$A$1:$F$65</definedName>
    <definedName name="Z_6B77031E_918C_40F9_A42D_E4EA46622624_.wvu.PrintArea" localSheetId="1" hidden="1">'Финансов план на ПТП'!$A$2:$M$18</definedName>
    <definedName name="Z_6B77031E_918C_40F9_A42D_E4EA46622624_.wvu.PrintArea" localSheetId="0" hidden="1">'Финансови бюджетни '!$A$4:$L$8</definedName>
    <definedName name="Z_6BEE494D_3BDB_46C2_9750_A57C1F94B9B8_.wvu.Cols" localSheetId="8" hidden="1">П3_Наука_Хоризонт!$N:$O</definedName>
    <definedName name="Z_6BEE494D_3BDB_46C2_9750_A57C1F94B9B8_.wvu.FilterData" localSheetId="4" hidden="1">'Подробно разпределение '!$A$2:$AD$24</definedName>
    <definedName name="Z_6BEE494D_3BDB_46C2_9750_A57C1F94B9B8_.wvu.FilterData" localSheetId="3" hidden="1">'ПОКАЗАТЕЛИ ПТП '!$A$1:$M$73</definedName>
    <definedName name="Z_6BEE494D_3BDB_46C2_9750_A57C1F94B9B8_.wvu.PrintArea" localSheetId="2" hidden="1">'ОПНО_визия евро'!$A$1:$O$30</definedName>
    <definedName name="Z_6BEE494D_3BDB_46C2_9750_A57C1F94B9B8_.wvu.PrintArea" localSheetId="7" hidden="1">'П3_Наука Изследвания'!$A$1:$M$14</definedName>
    <definedName name="Z_6BEE494D_3BDB_46C2_9750_A57C1F94B9B8_.wvu.PrintArea" localSheetId="6" hidden="1">П3_Наука_Инфраструктура!$A$1:$L$16</definedName>
    <definedName name="Z_6BEE494D_3BDB_46C2_9750_A57C1F94B9B8_.wvu.PrintArea" localSheetId="8" hidden="1">П3_Наука_Хоризонт!$A$1:$M$18</definedName>
    <definedName name="Z_6BEE494D_3BDB_46C2_9750_A57C1F94B9B8_.wvu.PrintArea" localSheetId="3" hidden="1">'ПОКАЗАТЕЛИ ПТП '!$A$1:$S$65</definedName>
    <definedName name="Z_6BEE494D_3BDB_46C2_9750_A57C1F94B9B8_.wvu.PrintArea" localSheetId="1" hidden="1">'Финансов план на ПТП'!$A$2:$M$18</definedName>
    <definedName name="Z_6BEE494D_3BDB_46C2_9750_A57C1F94B9B8_.wvu.PrintArea" localSheetId="0" hidden="1">'Финансови бюджетни '!$A$4:$L$8</definedName>
    <definedName name="Z_6DE7F3B1_A2A5_4DF3_AB28_CEC05645DF79_.wvu.FilterData" localSheetId="3" hidden="1">'ПОКАЗАТЕЛИ ПТП '!$A$1:$M$65</definedName>
    <definedName name="Z_706ED943_D14E_4B19_B1BF_18F11D303E32_.wvu.FilterData" localSheetId="3" hidden="1">'ПОКАЗАТЕЛИ ПТП '!$A$1:$M$65</definedName>
    <definedName name="Z_77799D3C_38E2_410A_80FA_AECD8E6AB89B_.wvu.Cols" localSheetId="8" hidden="1">П3_Наука_Хоризонт!$N:$O</definedName>
    <definedName name="Z_77799D3C_38E2_410A_80FA_AECD8E6AB89B_.wvu.FilterData" localSheetId="4" hidden="1">'Подробно разпределение '!$A$2:$AD$24</definedName>
    <definedName name="Z_77799D3C_38E2_410A_80FA_AECD8E6AB89B_.wvu.FilterData" localSheetId="3" hidden="1">'ПОКАЗАТЕЛИ ПТП '!$A$1:$M$73</definedName>
    <definedName name="Z_77799D3C_38E2_410A_80FA_AECD8E6AB89B_.wvu.PrintArea" localSheetId="2" hidden="1">'ОПНО_визия евро'!$A$1:$O$30</definedName>
    <definedName name="Z_77799D3C_38E2_410A_80FA_AECD8E6AB89B_.wvu.PrintArea" localSheetId="7" hidden="1">'П3_Наука Изследвания'!$A$1:$M$14</definedName>
    <definedName name="Z_77799D3C_38E2_410A_80FA_AECD8E6AB89B_.wvu.PrintArea" localSheetId="6" hidden="1">П3_Наука_Инфраструктура!$A$1:$L$16</definedName>
    <definedName name="Z_77799D3C_38E2_410A_80FA_AECD8E6AB89B_.wvu.PrintArea" localSheetId="8" hidden="1">П3_Наука_Хоризонт!$A$1:$M$18</definedName>
    <definedName name="Z_77799D3C_38E2_410A_80FA_AECD8E6AB89B_.wvu.PrintArea" localSheetId="3" hidden="1">'ПОКАЗАТЕЛИ ПТП '!$A$1:$F$65</definedName>
    <definedName name="Z_77799D3C_38E2_410A_80FA_AECD8E6AB89B_.wvu.PrintArea" localSheetId="1" hidden="1">'Финансов план на ПТП'!$A$2:$M$18</definedName>
    <definedName name="Z_77799D3C_38E2_410A_80FA_AECD8E6AB89B_.wvu.PrintArea" localSheetId="0" hidden="1">'Финансови бюджетни '!$A$4:$L$8</definedName>
    <definedName name="Z_789DF1D1_5B2F_4DBB_A27D_7F65A344A4B0_.wvu.FilterData" localSheetId="3" hidden="1">'ПОКАЗАТЕЛИ ПТП '!$A$1:$M$65</definedName>
    <definedName name="Z_78C4BE07_3D6D_48FF_829A_93E03342FDC1_.wvu.FilterData" localSheetId="3" hidden="1">'ПОКАЗАТЕЛИ ПТП '!$A$1:$M$65</definedName>
    <definedName name="Z_7AFACEE3_4130_438F_9B62_F00738166982_.wvu.FilterData" localSheetId="3" hidden="1">'ПОКАЗАТЕЛИ ПТП '!$A$1:$M$65</definedName>
    <definedName name="Z_7BC33F16_0A52_48FA_9587_E7C66DF4A2C2_.wvu.FilterData" localSheetId="3" hidden="1">'ПОКАЗАТЕЛИ ПТП '!$A$1:$M$65</definedName>
    <definedName name="Z_7C398563_66C1_4EF6_BC12_42FA6233B0B8_.wvu.FilterData" localSheetId="3" hidden="1">'ПОКАЗАТЕЛИ ПТП '!$A$1:$M$65</definedName>
    <definedName name="Z_7E4C5ABB_6A83_448F_97BF_009D8C7CCFE4_.wvu.FilterData" localSheetId="3" hidden="1">'ПОКАЗАТЕЛИ ПТП '!$A$1:$M$65</definedName>
    <definedName name="Z_7F2EA1C4_55AA_4612_84FA_501681582C12_.wvu.FilterData" localSheetId="3" hidden="1">'ПОКАЗАТЕЛИ ПТП '!$A$1:$M$65</definedName>
    <definedName name="Z_7FBA698A_B4F9_473C_A697_22EC99EC7386_.wvu.Cols" localSheetId="8" hidden="1">П3_Наука_Хоризонт!$N:$O</definedName>
    <definedName name="Z_7FBA698A_B4F9_473C_A697_22EC99EC7386_.wvu.FilterData" localSheetId="3" hidden="1">'ПОКАЗАТЕЛИ ПТП '!$A$1:$M$73</definedName>
    <definedName name="Z_7FBA698A_B4F9_473C_A697_22EC99EC7386_.wvu.PrintArea" localSheetId="2" hidden="1">'ОПНО_визия евро'!$A$1:$O$30</definedName>
    <definedName name="Z_7FBA698A_B4F9_473C_A697_22EC99EC7386_.wvu.PrintArea" localSheetId="7" hidden="1">'П3_Наука Изследвания'!$A$1:$M$14</definedName>
    <definedName name="Z_7FBA698A_B4F9_473C_A697_22EC99EC7386_.wvu.PrintArea" localSheetId="6" hidden="1">П3_Наука_Инфраструктура!$A$1:$L$16</definedName>
    <definedName name="Z_7FBA698A_B4F9_473C_A697_22EC99EC7386_.wvu.PrintArea" localSheetId="8" hidden="1">П3_Наука_Хоризонт!$A$1:$M$18</definedName>
    <definedName name="Z_7FBA698A_B4F9_473C_A697_22EC99EC7386_.wvu.PrintArea" localSheetId="3" hidden="1">'ПОКАЗАТЕЛИ ПТП '!$A$1:$F$65</definedName>
    <definedName name="Z_7FBA698A_B4F9_473C_A697_22EC99EC7386_.wvu.PrintArea" localSheetId="1" hidden="1">'Финансов план на ПТП'!$A$2:$M$18</definedName>
    <definedName name="Z_7FBA698A_B4F9_473C_A697_22EC99EC7386_.wvu.PrintArea" localSheetId="0" hidden="1">'Финансови бюджетни '!$A$4:$L$8</definedName>
    <definedName name="Z_84A71B46_60CD_407A_89F3_857B06992E7A_.wvu.FilterData" localSheetId="3" hidden="1">'ПОКАЗАТЕЛИ ПТП '!$A$1:$M$65</definedName>
    <definedName name="Z_865CDE92_7D88_495D_90A0_9A0951E8EE5B_.wvu.FilterData" localSheetId="3" hidden="1">'ПОКАЗАТЕЛИ ПТП '!$A$1:$M$65</definedName>
    <definedName name="Z_872D2DA5_7BEF_480F_BD4A_211DAFB5A8E3_.wvu.FilterData" localSheetId="3" hidden="1">'ПОКАЗАТЕЛИ ПТП '!$A$1:$M$65</definedName>
    <definedName name="Z_878BA027_57A8_44BE_B4C6_7E97B44F94A2_.wvu.FilterData" localSheetId="3" hidden="1">'ПОКАЗАТЕЛИ ПТП '!$A$1:$M$65</definedName>
    <definedName name="Z_88974E4A_2D2B_42DC_8EA2_54A59A77B0D5_.wvu.FilterData" localSheetId="3" hidden="1">'ПОКАЗАТЕЛИ ПТП '!$A$1:$M$65</definedName>
    <definedName name="Z_8AB8B59D_AA09_4081_BE27_99D08A07BA31_.wvu.FilterData" localSheetId="3" hidden="1">'ПОКАЗАТЕЛИ ПТП '!$A$1:$M$65</definedName>
    <definedName name="Z_8B6D65BC_AB77_4F9F_BB5E_C848F5C1D363_.wvu.FilterData" localSheetId="3" hidden="1">'ПОКАЗАТЕЛИ ПТП '!$A$1:$M$65</definedName>
    <definedName name="Z_8F340EDE_FB25_4830_AA64_0CB34D06C1E0_.wvu.FilterData" localSheetId="3" hidden="1">'ПОКАЗАТЕЛИ ПТП '!$A$1:$M$65</definedName>
    <definedName name="Z_9180A044_BC68_4F4E_8E32_4F4879630C5D_.wvu.FilterData" localSheetId="3" hidden="1">'ПОКАЗАТЕЛИ ПТП '!$A$1:$M$65</definedName>
    <definedName name="Z_91AF3DAF_3A21_4047_95E4_323BC50341B9_.wvu.FilterData" localSheetId="3" hidden="1">'ПОКАЗАТЕЛИ ПТП '!$A$1:$M$65</definedName>
    <definedName name="Z_967C2AF1_5EDF_4EFB_9B6E_F068F0A377ED_.wvu.FilterData" localSheetId="3" hidden="1">'ПОКАЗАТЕЛИ ПТП '!$A$1:$M$65</definedName>
    <definedName name="Z_97473967_553B_4F9C_B199_B080F6D50764_.wvu.FilterData" localSheetId="3" hidden="1">'ПОКАЗАТЕЛИ ПТП '!$A$2:$F$57</definedName>
    <definedName name="Z_98583CFF_58DC_4FB4_88DF_28748AEF91F6_.wvu.FilterData" localSheetId="3" hidden="1">'ПОКАЗАТЕЛИ ПТП '!$A$1:$M$65</definedName>
    <definedName name="Z_98FCE1DD_8BAE_472D_9734_AEB84FC63C88_.wvu.FilterData" localSheetId="3" hidden="1">'ПОКАЗАТЕЛИ ПТП '!$A$1:$M$65</definedName>
    <definedName name="Z_9CB77FEE_E4A3_4A18_85E7_45FCDC188FE9_.wvu.FilterData" localSheetId="3" hidden="1">'ПОКАЗАТЕЛИ ПТП '!$A$1:$M$65</definedName>
    <definedName name="Z_9CD5F6CE_0E1C_42DA_A598_93523B740CBC_.wvu.Cols" localSheetId="8" hidden="1">П3_Наука_Хоризонт!$N:$O</definedName>
    <definedName name="Z_9CD5F6CE_0E1C_42DA_A598_93523B740CBC_.wvu.FilterData" localSheetId="3" hidden="1">'ПОКАЗАТЕЛИ ПТП '!$A$2:$F$57</definedName>
    <definedName name="Z_9CD5F6CE_0E1C_42DA_A598_93523B740CBC_.wvu.PrintArea" localSheetId="2" hidden="1">'ОПНО_визия евро'!$A$1:$O$30</definedName>
    <definedName name="Z_9CD5F6CE_0E1C_42DA_A598_93523B740CBC_.wvu.PrintArea" localSheetId="7" hidden="1">'П3_Наука Изследвания'!$A$1:$M$14</definedName>
    <definedName name="Z_9CD5F6CE_0E1C_42DA_A598_93523B740CBC_.wvu.PrintArea" localSheetId="6" hidden="1">П3_Наука_Инфраструктура!$A$1:$L$16</definedName>
    <definedName name="Z_9CD5F6CE_0E1C_42DA_A598_93523B740CBC_.wvu.PrintArea" localSheetId="8" hidden="1">П3_Наука_Хоризонт!$A$1:$M$18</definedName>
    <definedName name="Z_9CD5F6CE_0E1C_42DA_A598_93523B740CBC_.wvu.PrintArea" localSheetId="1" hidden="1">'Финансов план на ПТП'!$A$2:$M$18</definedName>
    <definedName name="Z_9CD5F6CE_0E1C_42DA_A598_93523B740CBC_.wvu.PrintArea" localSheetId="0" hidden="1">'Финансови бюджетни '!$A$4:$L$8</definedName>
    <definedName name="Z_9CF8157C_F9C6_42F2_BC91_4E0E92F3E150_.wvu.FilterData" localSheetId="3" hidden="1">'ПОКАЗАТЕЛИ ПТП '!$A$1:$M$65</definedName>
    <definedName name="Z_A258819D_1B77_4856_A4E1_9B3140AD5721_.wvu.FilterData" localSheetId="3" hidden="1">'ПОКАЗАТЕЛИ ПТП '!$A$1:$M$73</definedName>
    <definedName name="Z_A44EDE4C_7411_45F3_9DDB_5D396C6F8E30_.wvu.FilterData" localSheetId="3" hidden="1">'ПОКАЗАТЕЛИ ПТП '!$A$1:$M$65</definedName>
    <definedName name="Z_A47A44D7_E2B5_46C7_A48C_49088F2604E0_.wvu.FilterData" localSheetId="3" hidden="1">'ПОКАЗАТЕЛИ ПТП '!$A$1:$M$65</definedName>
    <definedName name="Z_A5E45A22_7E45_4C8C_90B4_681EA05978BA_.wvu.FilterData" localSheetId="3" hidden="1">'ПОКАЗАТЕЛИ ПТП '!$A$1:$M$65</definedName>
    <definedName name="Z_A92C6647_AB29_4B6A_AC26_5A7AE5C58888_.wvu.FilterData" localSheetId="3" hidden="1">'ПОКАЗАТЕЛИ ПТП '!$A$1:$M$65</definedName>
    <definedName name="Z_A9E76DC5_461B_4C57_B245_F038800639FE_.wvu.FilterData" localSheetId="3" hidden="1">'ПОКАЗАТЕЛИ ПТП '!$A$1:$M$65</definedName>
    <definedName name="Z_AB278974_DE54_492A_9691_AEB99B62A374_.wvu.FilterData" localSheetId="3" hidden="1">'ПОКАЗАТЕЛИ ПТП '!$A$1:$M$65</definedName>
    <definedName name="Z_ACEB7F85_A977_4456_AFE3_A35E17DA1D56_.wvu.FilterData" localSheetId="3" hidden="1">'ПОКАЗАТЕЛИ ПТП '!$A$1:$M$65</definedName>
    <definedName name="Z_AD504361_49F3_4986_BDBF_FB73E2299976_.wvu.Cols" localSheetId="8" hidden="1">П3_Наука_Хоризонт!$N:$O</definedName>
    <definedName name="Z_AD504361_49F3_4986_BDBF_FB73E2299976_.wvu.FilterData" localSheetId="3" hidden="1">'ПОКАЗАТЕЛИ ПТП '!$A$1:$M$73</definedName>
    <definedName name="Z_AD504361_49F3_4986_BDBF_FB73E2299976_.wvu.PrintArea" localSheetId="2" hidden="1">'ОПНО_визия евро'!$A$1:$O$30</definedName>
    <definedName name="Z_AD504361_49F3_4986_BDBF_FB73E2299976_.wvu.PrintArea" localSheetId="7" hidden="1">'П3_Наука Изследвания'!$A$1:$M$14</definedName>
    <definedName name="Z_AD504361_49F3_4986_BDBF_FB73E2299976_.wvu.PrintArea" localSheetId="6" hidden="1">П3_Наука_Инфраструктура!$A$1:$L$16</definedName>
    <definedName name="Z_AD504361_49F3_4986_BDBF_FB73E2299976_.wvu.PrintArea" localSheetId="8" hidden="1">П3_Наука_Хоризонт!$A$1:$M$18</definedName>
    <definedName name="Z_AD504361_49F3_4986_BDBF_FB73E2299976_.wvu.PrintArea" localSheetId="3" hidden="1">'ПОКАЗАТЕЛИ ПТП '!$A$1:$F$65</definedName>
    <definedName name="Z_AD504361_49F3_4986_BDBF_FB73E2299976_.wvu.PrintArea" localSheetId="1" hidden="1">'Финансов план на ПТП'!$A$2:$M$18</definedName>
    <definedName name="Z_AD504361_49F3_4986_BDBF_FB73E2299976_.wvu.PrintArea" localSheetId="0" hidden="1">'Финансови бюджетни '!$A$4:$L$8</definedName>
    <definedName name="Z_ADE2AED5_CCF6_4A00_B664_C2C49B9BEF5C_.wvu.FilterData" localSheetId="3" hidden="1">'ПОКАЗАТЕЛИ ПТП '!$A$1:$M$65</definedName>
    <definedName name="Z_AFB558D7_B68D_403E_9CDE_53616F2B37D7_.wvu.FilterData" localSheetId="3" hidden="1">'ПОКАЗАТЕЛИ ПТП '!$A$1:$M$65</definedName>
    <definedName name="Z_B1A1AEA2_F407_4A00_872D_F8AA3FCCAB28_.wvu.FilterData" localSheetId="3" hidden="1">'ПОКАЗАТЕЛИ ПТП '!$A$1:$M$65</definedName>
    <definedName name="Z_B2580134_98E8_447F_87D8_04F8DB5252C2_.wvu.FilterData" localSheetId="3" hidden="1">'ПОКАЗАТЕЛИ ПТП '!$A$2:$F$57</definedName>
    <definedName name="Z_B3762A0B_85CA_444A_8DD2_564EE243944D_.wvu.FilterData" localSheetId="3" hidden="1">'ПОКАЗАТЕЛИ ПТП '!$A$1:$M$65</definedName>
    <definedName name="Z_B426F9F8_EB1A_4D7B_9478_7E22D414CC12_.wvu.Cols" localSheetId="8" hidden="1">П3_Наука_Хоризонт!$N:$O</definedName>
    <definedName name="Z_B426F9F8_EB1A_4D7B_9478_7E22D414CC12_.wvu.FilterData" localSheetId="4" hidden="1">'Подробно разпределение '!$A$2:$AD$24</definedName>
    <definedName name="Z_B426F9F8_EB1A_4D7B_9478_7E22D414CC12_.wvu.FilterData" localSheetId="3" hidden="1">'ПОКАЗАТЕЛИ ПТП '!$A$1:$M$73</definedName>
    <definedName name="Z_B426F9F8_EB1A_4D7B_9478_7E22D414CC12_.wvu.PrintArea" localSheetId="2" hidden="1">'ОПНО_визия евро'!$A$1:$O$30</definedName>
    <definedName name="Z_B426F9F8_EB1A_4D7B_9478_7E22D414CC12_.wvu.PrintArea" localSheetId="7" hidden="1">'П3_Наука Изследвания'!$A$1:$M$14</definedName>
    <definedName name="Z_B426F9F8_EB1A_4D7B_9478_7E22D414CC12_.wvu.PrintArea" localSheetId="6" hidden="1">П3_Наука_Инфраструктура!$A$1:$L$16</definedName>
    <definedName name="Z_B426F9F8_EB1A_4D7B_9478_7E22D414CC12_.wvu.PrintArea" localSheetId="8" hidden="1">П3_Наука_Хоризонт!$A$1:$M$18</definedName>
    <definedName name="Z_B426F9F8_EB1A_4D7B_9478_7E22D414CC12_.wvu.PrintArea" localSheetId="3" hidden="1">'ПОКАЗАТЕЛИ ПТП '!$A$1:$F$65</definedName>
    <definedName name="Z_B426F9F8_EB1A_4D7B_9478_7E22D414CC12_.wvu.PrintArea" localSheetId="1" hidden="1">'Финансов план на ПТП'!$A$2:$M$18</definedName>
    <definedName name="Z_B426F9F8_EB1A_4D7B_9478_7E22D414CC12_.wvu.PrintArea" localSheetId="0" hidden="1">'Финансови бюджетни '!$A$4:$L$8</definedName>
    <definedName name="Z_B4CD06E5_0F7A_4CD2_A1B8_48ECAD5ED7A0_.wvu.FilterData" localSheetId="3" hidden="1">'ПОКАЗАТЕЛИ ПТП '!$A$1:$M$73</definedName>
    <definedName name="Z_B51586A5_537D_4B84_901E_178643F0D236_.wvu.FilterData" localSheetId="3" hidden="1">'ПОКАЗАТЕЛИ ПТП '!$A$1:$M$65</definedName>
    <definedName name="Z_B5DDA91F_EC18_4D67_A347_1883CDE2FFF4_.wvu.FilterData" localSheetId="3" hidden="1">'ПОКАЗАТЕЛИ ПТП '!$A$1:$M$65</definedName>
    <definedName name="Z_B777B674_73ED_4225_A0AA_917FDFF5A819_.wvu.Cols" localSheetId="8" hidden="1">П3_Наука_Хоризонт!$N:$O</definedName>
    <definedName name="Z_B777B674_73ED_4225_A0AA_917FDFF5A819_.wvu.FilterData" localSheetId="4" hidden="1">'Подробно разпределение '!$A$2:$AD$24</definedName>
    <definedName name="Z_B777B674_73ED_4225_A0AA_917FDFF5A819_.wvu.FilterData" localSheetId="3" hidden="1">'ПОКАЗАТЕЛИ ПТП '!$A$1:$M$73</definedName>
    <definedName name="Z_B777B674_73ED_4225_A0AA_917FDFF5A819_.wvu.PrintArea" localSheetId="2" hidden="1">'ОПНО_визия евро'!$A$1:$O$30</definedName>
    <definedName name="Z_B777B674_73ED_4225_A0AA_917FDFF5A819_.wvu.PrintArea" localSheetId="7" hidden="1">'П3_Наука Изследвания'!$A$1:$M$14</definedName>
    <definedName name="Z_B777B674_73ED_4225_A0AA_917FDFF5A819_.wvu.PrintArea" localSheetId="6" hidden="1">П3_Наука_Инфраструктура!$A$1:$L$16</definedName>
    <definedName name="Z_B777B674_73ED_4225_A0AA_917FDFF5A819_.wvu.PrintArea" localSheetId="8" hidden="1">П3_Наука_Хоризонт!$A$1:$M$18</definedName>
    <definedName name="Z_B777B674_73ED_4225_A0AA_917FDFF5A819_.wvu.PrintArea" localSheetId="3" hidden="1">'ПОКАЗАТЕЛИ ПТП '!$A$1:$L$75</definedName>
    <definedName name="Z_B777B674_73ED_4225_A0AA_917FDFF5A819_.wvu.PrintArea" localSheetId="1" hidden="1">'Финансов план на ПТП'!$A$2:$M$18</definedName>
    <definedName name="Z_B777B674_73ED_4225_A0AA_917FDFF5A819_.wvu.PrintArea" localSheetId="0" hidden="1">'Финансови бюджетни '!$A$4:$L$8</definedName>
    <definedName name="Z_BA49FD0F_AB35_48A1_AD22_91FD674A6FB2_.wvu.FilterData" localSheetId="3" hidden="1">'ПОКАЗАТЕЛИ ПТП '!$A$1:$M$65</definedName>
    <definedName name="Z_C045550C_87F3_453F_B207_735FDF4C6AEC_.wvu.FilterData" localSheetId="3" hidden="1">'ПОКАЗАТЕЛИ ПТП '!$A$1:$M$65</definedName>
    <definedName name="Z_C2AD75A7_2631_4E7D_942F_B2AB060AAA09_.wvu.FilterData" localSheetId="3" hidden="1">'ПОКАЗАТЕЛИ ПТП '!$A$1:$M$65</definedName>
    <definedName name="Z_C6B8F34A_F1E4_4D67_A924_DA21D14BBA7E_.wvu.FilterData" localSheetId="3" hidden="1">'ПОКАЗАТЕЛИ ПТП '!$A$1:$M$65</definedName>
    <definedName name="Z_C6DB5879_32A9_403F_864A_4BAA95BB7747_.wvu.FilterData" localSheetId="3" hidden="1">'ПОКАЗАТЕЛИ ПТП '!$A$1:$M$65</definedName>
    <definedName name="Z_C6F190A0_1065_4334_BB3D_A201C52D19BC_.wvu.FilterData" localSheetId="3" hidden="1">'ПОКАЗАТЕЛИ ПТП '!$A$1:$M$65</definedName>
    <definedName name="Z_CD0DA7C6_AE0D_4D8C_8DEC_9E1E1BD6C5A7_.wvu.FilterData" localSheetId="3" hidden="1">'ПОКАЗАТЕЛИ ПТП '!$A$1:$M$65</definedName>
    <definedName name="Z_CDFE6D91_C19B_4A37_8497_E1930B99F06E_.wvu.FilterData" localSheetId="3" hidden="1">'ПОКАЗАТЕЛИ ПТП '!$A$1:$M$65</definedName>
    <definedName name="Z_CE577872_512D_4445_82A3_E45C406A456B_.wvu.FilterData" localSheetId="3" hidden="1">'ПОКАЗАТЕЛИ ПТП '!$A$1:$M$65</definedName>
    <definedName name="Z_D1764B63_B88F_4276_A634_B6297D05F3AB_.wvu.FilterData" localSheetId="3" hidden="1">'ПОКАЗАТЕЛИ ПТП '!$A$1:$M$73</definedName>
    <definedName name="Z_D1BD168D_40B4_46AB_88B7_64C22520CFA0_.wvu.Cols" localSheetId="8" hidden="1">П3_Наука_Хоризонт!$N:$O</definedName>
    <definedName name="Z_D1BD168D_40B4_46AB_88B7_64C22520CFA0_.wvu.FilterData" localSheetId="3" hidden="1">'ПОКАЗАТЕЛИ ПТП '!$A$1:$M$65</definedName>
    <definedName name="Z_D1BD168D_40B4_46AB_88B7_64C22520CFA0_.wvu.PrintArea" localSheetId="2" hidden="1">'ОПНО_визия евро'!$A$1:$O$30</definedName>
    <definedName name="Z_D1BD168D_40B4_46AB_88B7_64C22520CFA0_.wvu.PrintArea" localSheetId="7" hidden="1">'П3_Наука Изследвания'!$A$1:$M$14</definedName>
    <definedName name="Z_D1BD168D_40B4_46AB_88B7_64C22520CFA0_.wvu.PrintArea" localSheetId="6" hidden="1">П3_Наука_Инфраструктура!$A$1:$L$16</definedName>
    <definedName name="Z_D1BD168D_40B4_46AB_88B7_64C22520CFA0_.wvu.PrintArea" localSheetId="8" hidden="1">П3_Наука_Хоризонт!$A$1:$M$18</definedName>
    <definedName name="Z_D1BD168D_40B4_46AB_88B7_64C22520CFA0_.wvu.PrintArea" localSheetId="3" hidden="1">'ПОКАЗАТЕЛИ ПТП '!$A$1:$F$65</definedName>
    <definedName name="Z_D1BD168D_40B4_46AB_88B7_64C22520CFA0_.wvu.PrintArea" localSheetId="1" hidden="1">'Финансов план на ПТП'!$A$2:$M$18</definedName>
    <definedName name="Z_D1BD168D_40B4_46AB_88B7_64C22520CFA0_.wvu.PrintArea" localSheetId="0" hidden="1">'Финансови бюджетни '!$A$4:$L$8</definedName>
    <definedName name="Z_D55A2AC3_0B6C_43D7_B147_934C8D1C734D_.wvu.FilterData" localSheetId="3" hidden="1">'ПОКАЗАТЕЛИ ПТП '!$A$1:$M$65</definedName>
    <definedName name="Z_D9DEA245_E231_4080_A4D0_FA9FB96DEAC7_.wvu.FilterData" localSheetId="3" hidden="1">'ПОКАЗАТЕЛИ ПТП '!$A$1:$M$65</definedName>
    <definedName name="Z_DBD059FC_E21C_4532_B008_88F77AB2724E_.wvu.FilterData" localSheetId="3" hidden="1">'ПОКАЗАТЕЛИ ПТП '!$A$1:$M$65</definedName>
    <definedName name="Z_DCE53AB0_D536_4F68_9C51_8F24A0125ED3_.wvu.FilterData" localSheetId="3" hidden="1">'ПОКАЗАТЕЛИ ПТП '!$A$1:$F$65</definedName>
    <definedName name="Z_DD0EA6D3_BC8C_40D3_B12F_B88059C8E3DC_.wvu.Cols" localSheetId="8" hidden="1">П3_Наука_Хоризонт!$N:$O</definedName>
    <definedName name="Z_DD0EA6D3_BC8C_40D3_B12F_B88059C8E3DC_.wvu.FilterData" localSheetId="3" hidden="1">'ПОКАЗАТЕЛИ ПТП '!$A$1:$M$73</definedName>
    <definedName name="Z_DD0EA6D3_BC8C_40D3_B12F_B88059C8E3DC_.wvu.PrintArea" localSheetId="2" hidden="1">'ОПНО_визия евро'!$A$1:$O$30</definedName>
    <definedName name="Z_DD0EA6D3_BC8C_40D3_B12F_B88059C8E3DC_.wvu.PrintArea" localSheetId="7" hidden="1">'П3_Наука Изследвания'!$A$1:$M$14</definedName>
    <definedName name="Z_DD0EA6D3_BC8C_40D3_B12F_B88059C8E3DC_.wvu.PrintArea" localSheetId="6" hidden="1">П3_Наука_Инфраструктура!$A$1:$L$16</definedName>
    <definedName name="Z_DD0EA6D3_BC8C_40D3_B12F_B88059C8E3DC_.wvu.PrintArea" localSheetId="8" hidden="1">П3_Наука_Хоризонт!$A$1:$M$18</definedName>
    <definedName name="Z_DD0EA6D3_BC8C_40D3_B12F_B88059C8E3DC_.wvu.PrintArea" localSheetId="3" hidden="1">'ПОКАЗАТЕЛИ ПТП '!$A$1:$F$65</definedName>
    <definedName name="Z_DD0EA6D3_BC8C_40D3_B12F_B88059C8E3DC_.wvu.PrintArea" localSheetId="1" hidden="1">'Финансов план на ПТП'!$A$2:$M$18</definedName>
    <definedName name="Z_DD0EA6D3_BC8C_40D3_B12F_B88059C8E3DC_.wvu.PrintArea" localSheetId="0" hidden="1">'Финансови бюджетни '!$A$4:$L$8</definedName>
    <definedName name="Z_DE1004AE_EE6B_445B_9B87_77176E699CEC_.wvu.Cols" localSheetId="8" hidden="1">П3_Наука_Хоризонт!$N:$O</definedName>
    <definedName name="Z_DE1004AE_EE6B_445B_9B87_77176E699CEC_.wvu.FilterData" localSheetId="4" hidden="1">'Подробно разпределение '!$A$2:$AD$24</definedName>
    <definedName name="Z_DE1004AE_EE6B_445B_9B87_77176E699CEC_.wvu.FilterData" localSheetId="3" hidden="1">'ПОКАЗАТЕЛИ ПТП '!$A$1:$M$73</definedName>
    <definedName name="Z_DE1004AE_EE6B_445B_9B87_77176E699CEC_.wvu.PrintArea" localSheetId="2" hidden="1">'ОПНО_визия евро'!$A$1:$O$30</definedName>
    <definedName name="Z_DE1004AE_EE6B_445B_9B87_77176E699CEC_.wvu.PrintArea" localSheetId="7" hidden="1">'П3_Наука Изследвания'!$A$1:$M$14</definedName>
    <definedName name="Z_DE1004AE_EE6B_445B_9B87_77176E699CEC_.wvu.PrintArea" localSheetId="6" hidden="1">П3_Наука_Инфраструктура!$A$1:$L$16</definedName>
    <definedName name="Z_DE1004AE_EE6B_445B_9B87_77176E699CEC_.wvu.PrintArea" localSheetId="8" hidden="1">П3_Наука_Хоризонт!$A$1:$M$18</definedName>
    <definedName name="Z_DE1004AE_EE6B_445B_9B87_77176E699CEC_.wvu.PrintArea" localSheetId="3" hidden="1">'ПОКАЗАТЕЛИ ПТП '!$A$1:$L$75</definedName>
    <definedName name="Z_DE1004AE_EE6B_445B_9B87_77176E699CEC_.wvu.PrintArea" localSheetId="1" hidden="1">'Финансов план на ПТП'!$A$2:$M$18</definedName>
    <definedName name="Z_DE1004AE_EE6B_445B_9B87_77176E699CEC_.wvu.PrintArea" localSheetId="0" hidden="1">'Финансови бюджетни '!$A$4:$L$8</definedName>
    <definedName name="Z_DE419AE1_55C7_41E8_9A94_E4062EF30970_.wvu.Cols" localSheetId="8" hidden="1">П3_Наука_Хоризонт!$N:$O</definedName>
    <definedName name="Z_DE419AE1_55C7_41E8_9A94_E4062EF30970_.wvu.FilterData" localSheetId="3" hidden="1">'ПОКАЗАТЕЛИ ПТП '!$A$1:$M$73</definedName>
    <definedName name="Z_DE419AE1_55C7_41E8_9A94_E4062EF30970_.wvu.PrintArea" localSheetId="2" hidden="1">'ОПНО_визия евро'!$A$1:$O$30</definedName>
    <definedName name="Z_DE419AE1_55C7_41E8_9A94_E4062EF30970_.wvu.PrintArea" localSheetId="7" hidden="1">'П3_Наука Изследвания'!$A$1:$M$14</definedName>
    <definedName name="Z_DE419AE1_55C7_41E8_9A94_E4062EF30970_.wvu.PrintArea" localSheetId="6" hidden="1">П3_Наука_Инфраструктура!$A$1:$L$16</definedName>
    <definedName name="Z_DE419AE1_55C7_41E8_9A94_E4062EF30970_.wvu.PrintArea" localSheetId="8" hidden="1">П3_Наука_Хоризонт!$A$1:$M$18</definedName>
    <definedName name="Z_DE419AE1_55C7_41E8_9A94_E4062EF30970_.wvu.PrintArea" localSheetId="3" hidden="1">'ПОКАЗАТЕЛИ ПТП '!$A$1:$F$65</definedName>
    <definedName name="Z_DE419AE1_55C7_41E8_9A94_E4062EF30970_.wvu.PrintArea" localSheetId="1" hidden="1">'Финансов план на ПТП'!$A$2:$M$18</definedName>
    <definedName name="Z_DE419AE1_55C7_41E8_9A94_E4062EF30970_.wvu.PrintArea" localSheetId="0" hidden="1">'Финансови бюджетни '!$A$4:$L$8</definedName>
    <definedName name="Z_DF2C4FDE_E1F5_4237_AAD0_8EC7F5D509D3_.wvu.FilterData" localSheetId="3" hidden="1">'ПОКАЗАТЕЛИ ПТП '!$A$1:$M$65</definedName>
    <definedName name="Z_DFC16DFA_D513_4368_8B92_9E363A26CBAC_.wvu.FilterData" localSheetId="3" hidden="1">'ПОКАЗАТЕЛИ ПТП '!$A$1:$F$65</definedName>
    <definedName name="Z_E02E7249_07F4_422F_A943_309A7F33CE91_.wvu.FilterData" localSheetId="3" hidden="1">'ПОКАЗАТЕЛИ ПТП '!$A$1:$M$73</definedName>
    <definedName name="Z_E07B67F4_8A17_4050_B9B8_81977BCB02E2_.wvu.Cols" localSheetId="8" hidden="1">П3_Наука_Хоризонт!$N:$O</definedName>
    <definedName name="Z_E07B67F4_8A17_4050_B9B8_81977BCB02E2_.wvu.Cols" localSheetId="3" hidden="1">'ПОКАЗАТЕЛИ ПТП '!#REF!</definedName>
    <definedName name="Z_E07B67F4_8A17_4050_B9B8_81977BCB02E2_.wvu.FilterData" localSheetId="3" hidden="1">'ПОКАЗАТЕЛИ ПТП '!$A$2:$F$57</definedName>
    <definedName name="Z_E07B67F4_8A17_4050_B9B8_81977BCB02E2_.wvu.PrintArea" localSheetId="2" hidden="1">'ОПНО_визия евро'!$A$1:$O$30</definedName>
    <definedName name="Z_E07B67F4_8A17_4050_B9B8_81977BCB02E2_.wvu.PrintArea" localSheetId="7" hidden="1">'П3_Наука Изследвания'!$A$1:$M$14</definedName>
    <definedName name="Z_E07B67F4_8A17_4050_B9B8_81977BCB02E2_.wvu.PrintArea" localSheetId="6" hidden="1">П3_Наука_Инфраструктура!$A$1:$L$16</definedName>
    <definedName name="Z_E07B67F4_8A17_4050_B9B8_81977BCB02E2_.wvu.PrintArea" localSheetId="8" hidden="1">П3_Наука_Хоризонт!$A$1:$M$18</definedName>
    <definedName name="Z_E07B67F4_8A17_4050_B9B8_81977BCB02E2_.wvu.PrintArea" localSheetId="3" hidden="1">'ПОКАЗАТЕЛИ ПТП '!$A$1:$F$39</definedName>
    <definedName name="Z_E07B67F4_8A17_4050_B9B8_81977BCB02E2_.wvu.PrintArea" localSheetId="1" hidden="1">'Финансов план на ПТП'!$A$2:$M$18</definedName>
    <definedName name="Z_E07B67F4_8A17_4050_B9B8_81977BCB02E2_.wvu.PrintArea" localSheetId="0" hidden="1">'Финансови бюджетни '!$A$4:$L$8</definedName>
    <definedName name="Z_E5A8F870_8CE7_4427_AA04_39625D3E8CB8_.wvu.FilterData" localSheetId="3" hidden="1">'ПОКАЗАТЕЛИ ПТП '!$A$1:$M$73</definedName>
    <definedName name="Z_E8A18EBC_3424_406E_AAEE_4A906005FE15_.wvu.FilterData" localSheetId="3" hidden="1">'ПОКАЗАТЕЛИ ПТП '!$A$1:$M$73</definedName>
    <definedName name="Z_ECC2290F_3EDB_4B87_95E7_39D418B19680_.wvu.FilterData" localSheetId="3" hidden="1">'ПОКАЗАТЕЛИ ПТП '!$A$1:$M$65</definedName>
    <definedName name="Z_EF25795A_3B6F_4507_92B9_EAF5B0884E9E_.wvu.FilterData" localSheetId="3" hidden="1">'ПОКАЗАТЕЛИ ПТП '!$A$1:$M$65</definedName>
    <definedName name="Z_F055BC8A_093D_41C6_B580_0ABA34413A59_.wvu.FilterData" localSheetId="3" hidden="1">'ПОКАЗАТЕЛИ ПТП '!$A$1:$M$65</definedName>
    <definedName name="Z_F296FD54_9E2C_49C0_807F_4D606DDA42BB_.wvu.FilterData" localSheetId="3" hidden="1">'ПОКАЗАТЕЛИ ПТП '!$A$1:$M$65</definedName>
    <definedName name="Z_F51B41C0_1BD7_44BF_8205_E6650A4106D4_.wvu.FilterData" localSheetId="3" hidden="1">'ПОКАЗАТЕЛИ ПТП '!$A$1:$M$65</definedName>
    <definedName name="Z_F5FEA9DB_91E2_48FB_899C_702683241BF8_.wvu.FilterData" localSheetId="3" hidden="1">'ПОКАЗАТЕЛИ ПТП '!$A$1:$M$65</definedName>
    <definedName name="Z_F67C426D_26F1_4B15_961D_40AFD17A9EE3_.wvu.Cols" localSheetId="8" hidden="1">П3_Наука_Хоризонт!$N:$O</definedName>
    <definedName name="Z_F67C426D_26F1_4B15_961D_40AFD17A9EE3_.wvu.FilterData" localSheetId="4" hidden="1">'Подробно разпределение '!$A$2:$AD$24</definedName>
    <definedName name="Z_F67C426D_26F1_4B15_961D_40AFD17A9EE3_.wvu.FilterData" localSheetId="3" hidden="1">'ПОКАЗАТЕЛИ ПТП '!$A$1:$M$73</definedName>
    <definedName name="Z_F67C426D_26F1_4B15_961D_40AFD17A9EE3_.wvu.PrintArea" localSheetId="2" hidden="1">'ОПНО_визия евро'!$A$1:$O$30</definedName>
    <definedName name="Z_F67C426D_26F1_4B15_961D_40AFD17A9EE3_.wvu.PrintArea" localSheetId="7" hidden="1">'П3_Наука Изследвания'!$A$1:$M$14</definedName>
    <definedName name="Z_F67C426D_26F1_4B15_961D_40AFD17A9EE3_.wvu.PrintArea" localSheetId="6" hidden="1">П3_Наука_Инфраструктура!$A$1:$L$16</definedName>
    <definedName name="Z_F67C426D_26F1_4B15_961D_40AFD17A9EE3_.wvu.PrintArea" localSheetId="8" hidden="1">П3_Наука_Хоризонт!$A$1:$M$18</definedName>
    <definedName name="Z_F67C426D_26F1_4B15_961D_40AFD17A9EE3_.wvu.PrintArea" localSheetId="3" hidden="1">'ПОКАЗАТЕЛИ ПТП '!$A$1:$L$75</definedName>
    <definedName name="Z_F67C426D_26F1_4B15_961D_40AFD17A9EE3_.wvu.PrintArea" localSheetId="1" hidden="1">'Финансов план на ПТП'!$A$2:$M$18</definedName>
    <definedName name="Z_F67C426D_26F1_4B15_961D_40AFD17A9EE3_.wvu.PrintArea" localSheetId="0" hidden="1">'Финансови бюджетни '!$A$4:$L$8</definedName>
    <definedName name="Z_FBD83DB1_7D23_442D_AAFC_8EB3C39CCE98_.wvu.FilterData" localSheetId="3" hidden="1">'ПОКАЗАТЕЛИ ПТП '!$A$1:$M$65</definedName>
    <definedName name="Z_FE2955C0_88F2_4786_82CB_7C3712BA1FAE_.wvu.FilterData" localSheetId="3" hidden="1">'ПОКАЗАТЕЛИ ПТП '!$A$1:$M$65</definedName>
    <definedName name="Z_FF056BCE_8DD2_46C8_9A5C_CA39174333D6_.wvu.FilterData" localSheetId="3" hidden="1">'ПОКАЗАТЕЛИ ПТП '!$A$1:$M$65</definedName>
  </definedNames>
  <calcPr calcId="162913"/>
  <customWorkbookViews>
    <customWorkbookView name="Силвия Бъчева - Personal View" guid="{6BEE494D-3BDB-46C2-9750-A57C1F94B9B8}" mergeInterval="0" personalView="1" maximized="1" xWindow="-8" yWindow="-8" windowWidth="1936" windowHeight="1056" tabRatio="782" activeSheetId="2"/>
    <customWorkbookView name="Атанас Атанасов - Personal View" guid="{B426F9F8-EB1A-4D7B-9478-7E22D414CC12}" mergeInterval="0" personalView="1" maximized="1" xWindow="-8" yWindow="-8" windowWidth="1936" windowHeight="1056" tabRatio="782" activeSheetId="4"/>
    <customWorkbookView name="Елисавета Марашлиева-Нинова - Personal View" guid="{13EBDE9D-EC74-4522-9EED-363E735B4A78}" mergeInterval="0" personalView="1" maximized="1" xWindow="-8" yWindow="-8" windowWidth="1936" windowHeight="1056" tabRatio="782" activeSheetId="2"/>
    <customWorkbookView name="opgg user - Personal View" guid="{F67C426D-26F1-4B15-961D-40AFD17A9EE3}" mergeInterval="0" personalView="1" maximized="1" xWindow="-8" yWindow="-8" windowWidth="1936" windowHeight="1056" tabRatio="782" activeSheetId="4"/>
    <customWorkbookView name="Мариана Димитрова - Personal View" guid="{B777B674-73ED-4225-A0AA-917FDFF5A819}" mergeInterval="0" personalView="1" maximized="1" xWindow="-9" yWindow="-9" windowWidth="1938" windowHeight="1048" tabRatio="782" activeSheetId="5" showComments="commIndAndComment"/>
    <customWorkbookView name="Малина Николова - Personal View" guid="{DE1004AE-EE6B-445B-9B87-77176E699CEC}" mergeInterval="0" personalView="1" maximized="1" xWindow="-8" yWindow="-8" windowWidth="1936" windowHeight="1048" tabRatio="782" activeSheetId="4"/>
    <customWorkbookView name="УО на ОПДУ - Personal View" guid="{7FBA698A-B4F9-473C-A697-22EC99EC7386}" mergeInterval="0" personalView="1" maximized="1" xWindow="-8" yWindow="-8" windowWidth="1936" windowHeight="1056" tabRatio="782" activeSheetId="5"/>
    <customWorkbookView name="Калоян Митев - Personal View" guid="{53CF95D2-2F99-49E8-AB7F-7627DCDE0DC8}" mergeInterval="0" personalView="1" maximized="1" xWindow="-8" yWindow="-8" windowWidth="1936" windowHeight="1048" tabRatio="782" activeSheetId="5"/>
    <customWorkbookView name="Цветелина Соракова - Personal View" guid="{AD504361-49F3-4986-BDBF-FB73E2299976}" mergeInterval="0" personalView="1" maximized="1" xWindow="-8" yWindow="-8" windowWidth="1936" windowHeight="1056" tabRatio="782" activeSheetId="4"/>
    <customWorkbookView name="Programming &amp; Contracting Department, OPGG - Personal View" guid="{DD0EA6D3-BC8C-40D3-B12F-B88059C8E3DC}" mergeInterval="0" personalView="1" maximized="1" xWindow="-8" yWindow="-8" windowWidth="1936" windowHeight="1056" tabRatio="782" activeSheetId="4"/>
    <customWorkbookView name="Антон Шопов - Personal View" guid="{72B67681-E295-44ED-80A6-F4B618B242B1}" mergeInterval="0" changesSavedWin="1" personalView="1" includePrintSettings="0" includeHiddenRowCol="0" maximized="1" xWindow="-8" yWindow="-8" windowWidth="1936" windowHeight="1056" tabRatio="782" activeSheetId="4"/>
    <customWorkbookView name="Емилия Герджикова - Personal View" guid="{9CD5F6CE-0E1C-42DA-A598-93523B740CBC}" mergeInterval="0" personalView="1" xWindow="35" yWindow="34" windowWidth="1883" windowHeight="1007" tabRatio="782" activeSheetId="4"/>
    <customWorkbookView name="Даниела Николов - Personal View" guid="{E07B67F4-8A17-4050-B9B8-81977BCB02E2}" mergeInterval="0" personalView="1" maximized="1" xWindow="-8" yWindow="-8" windowWidth="1936" windowHeight="1056" tabRatio="782" activeSheetId="4"/>
    <customWorkbookView name="Managing Authority - Personal View" guid="{2A6315F5-C9A2-43A7-B337-00FD30A3EB26}" mergeInterval="0" personalView="1" maximized="1" xWindow="-8" yWindow="-8" windowWidth="1936" windowHeight="1056" tabRatio="782" activeSheetId="4"/>
    <customWorkbookView name="Managing Authority  - Personal View" guid="{D1BD168D-40B4-46AB-88B7-64C22520CFA0}" mergeInterval="0" personalView="1" maximized="1" xWindow="-8" yWindow="-8" windowWidth="1936" windowHeight="1056" tabRatio="782" activeSheetId="2"/>
    <customWorkbookView name="Мария  Христова - Personal View" guid="{56BC42A3-D967-4F27-BD5A-CB0B8CB7F657}" mergeInterval="0" personalView="1" maximized="1" xWindow="-8" yWindow="-8" windowWidth="1936" windowHeight="1056" tabRatio="782" activeSheetId="4"/>
    <customWorkbookView name="Daniela Nikolova - Personal View" guid="{DE419AE1-55C7-41E8-9A94-E4062EF30970}" mergeInterval="0" personalView="1" maximized="1" xWindow="-8" yWindow="-8" windowWidth="1936" windowHeight="1056" tabRatio="782" activeSheetId="4"/>
    <customWorkbookView name="user - Personal View" guid="{6B77031E-918C-40F9-A42D-E4EA46622624}" mergeInterval="0" personalView="1" maximized="1" xWindow="-9" yWindow="-9" windowWidth="1938" windowHeight="1048" tabRatio="782" activeSheetId="4"/>
    <customWorkbookView name="Полина Личева - Personal View" guid="{77799D3C-38E2-410A-80FA-AECD8E6AB89B}" mergeInterval="0" personalView="1" maximized="1" xWindow="-8" yWindow="-8" windowWidth="1936" windowHeight="1056" tabRatio="782" activeSheetId="4"/>
    <customWorkbookView name="Даниела Николова - Personal View" guid="{32A281B9-28FB-4D0E-8C01-BFBADAC8C3C9}" mergeInterval="0" personalView="1" maximized="1" xWindow="-8" yWindow="-8" windowWidth="1936" windowHeight="1056" tabRatio="782"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1" i="4" l="1"/>
  <c r="L80" i="4"/>
  <c r="K81" i="4"/>
  <c r="K80" i="4"/>
  <c r="K74" i="4"/>
  <c r="K88" i="4" l="1"/>
  <c r="K85" i="4"/>
  <c r="K82" i="4"/>
  <c r="S72" i="4" l="1"/>
  <c r="N72" i="4"/>
  <c r="K75" i="4" l="1"/>
  <c r="N11" i="2"/>
  <c r="N10" i="2"/>
  <c r="L75" i="4"/>
  <c r="L74" i="4"/>
  <c r="AD26" i="5" l="1"/>
  <c r="D69" i="4"/>
  <c r="D70" i="4" s="1"/>
  <c r="D71" i="4" s="1"/>
  <c r="L60" i="4" l="1"/>
  <c r="K60" i="4"/>
  <c r="L79" i="4" l="1"/>
  <c r="L69" i="4"/>
  <c r="L73" i="4"/>
  <c r="K69" i="4"/>
  <c r="D66" i="4"/>
  <c r="D67" i="4" s="1"/>
  <c r="D68" i="4" s="1"/>
  <c r="K91" i="4" l="1"/>
  <c r="K79" i="4"/>
  <c r="K73" i="4"/>
  <c r="P26" i="5"/>
  <c r="AD25" i="5"/>
  <c r="P25" i="5"/>
  <c r="C66" i="4" s="1"/>
  <c r="C69" i="4"/>
  <c r="C70" i="4" s="1"/>
  <c r="C71" i="4" s="1"/>
  <c r="AD3" i="5"/>
  <c r="P5" i="5" l="1"/>
  <c r="AD5" i="5"/>
  <c r="AD13" i="5"/>
  <c r="P13" i="5"/>
  <c r="AD4" i="5" l="1"/>
  <c r="M69" i="1" l="1"/>
  <c r="M68" i="1"/>
  <c r="K71" i="1"/>
  <c r="K66" i="1"/>
  <c r="K65" i="1"/>
  <c r="K64" i="1"/>
  <c r="K69" i="1" l="1"/>
  <c r="K74" i="1"/>
  <c r="K76" i="1" l="1"/>
  <c r="K32" i="1" l="1"/>
  <c r="L28" i="1" l="1"/>
  <c r="L27" i="1"/>
  <c r="N7" i="1" l="1"/>
  <c r="K9" i="1" l="1"/>
  <c r="J9" i="1"/>
  <c r="I9" i="1"/>
  <c r="H9" i="1"/>
  <c r="G9" i="1"/>
  <c r="F9" i="1"/>
  <c r="E9" i="1"/>
  <c r="D9" i="1"/>
  <c r="K28" i="1"/>
  <c r="J28" i="1"/>
  <c r="I28" i="1"/>
  <c r="H28" i="1"/>
  <c r="G28" i="1"/>
  <c r="F28" i="1"/>
  <c r="E28" i="1"/>
  <c r="K27" i="1"/>
  <c r="J27" i="1"/>
  <c r="I27" i="1"/>
  <c r="H27" i="1"/>
  <c r="G27" i="1"/>
  <c r="F27" i="1"/>
  <c r="E27" i="1"/>
  <c r="D28" i="1"/>
  <c r="D27" i="1"/>
  <c r="L9" i="1" l="1"/>
  <c r="F29" i="1"/>
  <c r="K29" i="1"/>
  <c r="J29" i="1"/>
  <c r="I29" i="1"/>
  <c r="G29" i="1"/>
  <c r="E29" i="1"/>
  <c r="H29" i="1"/>
  <c r="C29" i="1"/>
  <c r="D21" i="1"/>
  <c r="E21" i="1"/>
  <c r="F21" i="1"/>
  <c r="G21" i="1"/>
  <c r="H21" i="1"/>
  <c r="I21" i="1"/>
  <c r="J21" i="1"/>
  <c r="K21" i="1"/>
  <c r="C21" i="1"/>
  <c r="L20" i="1"/>
  <c r="L19" i="1"/>
  <c r="K36" i="2"/>
  <c r="I36" i="2"/>
  <c r="H36" i="2"/>
  <c r="J35" i="2"/>
  <c r="G35" i="2"/>
  <c r="M34" i="2"/>
  <c r="J34" i="2"/>
  <c r="J36" i="2" s="1"/>
  <c r="G34" i="2"/>
  <c r="G36" i="2" s="1"/>
  <c r="K31" i="1" l="1"/>
  <c r="K22" i="1"/>
  <c r="L21" i="1"/>
  <c r="D29" i="1"/>
  <c r="M35" i="2"/>
  <c r="M36" i="2" s="1"/>
  <c r="N36" i="2" s="1"/>
  <c r="N34" i="2"/>
  <c r="L29" i="1" l="1"/>
  <c r="N35" i="2"/>
  <c r="K89" i="4"/>
  <c r="L89" i="4"/>
  <c r="K90" i="4"/>
  <c r="L90" i="4"/>
  <c r="L88" i="4"/>
  <c r="K86" i="4"/>
  <c r="L86" i="4"/>
  <c r="K87" i="4"/>
  <c r="L87" i="4"/>
  <c r="L85" i="4"/>
  <c r="K83" i="4"/>
  <c r="L83" i="4"/>
  <c r="K84" i="4"/>
  <c r="L84" i="4"/>
  <c r="L82" i="4"/>
  <c r="L91" i="4" l="1"/>
  <c r="D30" i="1"/>
  <c r="L30" i="1"/>
  <c r="E30" i="1"/>
  <c r="G30" i="1"/>
  <c r="H30" i="1"/>
  <c r="F30" i="1"/>
  <c r="J30" i="1"/>
  <c r="P3" i="5" l="1"/>
  <c r="I11" i="2" l="1"/>
  <c r="N8" i="1" l="1"/>
  <c r="N9" i="1" s="1"/>
  <c r="AD20" i="5" l="1"/>
  <c r="P20" i="5"/>
  <c r="C54" i="4" s="1"/>
  <c r="D54" i="4"/>
  <c r="D55" i="4" s="1"/>
  <c r="C55" i="4" l="1"/>
  <c r="C56" i="4" s="1"/>
  <c r="D56" i="4"/>
  <c r="P17" i="5" l="1"/>
  <c r="C45" i="4" s="1"/>
  <c r="AD17" i="5"/>
  <c r="D45" i="4" s="1"/>
  <c r="P4" i="5" l="1"/>
  <c r="P6" i="5"/>
  <c r="AD6" i="5"/>
  <c r="P7" i="5"/>
  <c r="AD7" i="5"/>
  <c r="P8" i="5"/>
  <c r="AD8" i="5"/>
  <c r="D18" i="4" s="1"/>
  <c r="P9" i="5"/>
  <c r="AD9" i="5"/>
  <c r="P10" i="5"/>
  <c r="AD10" i="5"/>
  <c r="P11" i="5"/>
  <c r="AD11" i="5"/>
  <c r="P12" i="5"/>
  <c r="AD12" i="5"/>
  <c r="C13" i="5"/>
  <c r="D13" i="5"/>
  <c r="G13" i="5"/>
  <c r="H13" i="5"/>
  <c r="Q13" i="5"/>
  <c r="R13" i="5"/>
  <c r="U13" i="5"/>
  <c r="V13" i="5"/>
  <c r="C14" i="5"/>
  <c r="D14" i="5"/>
  <c r="E14" i="5"/>
  <c r="F14" i="5"/>
  <c r="H14" i="5"/>
  <c r="I14" i="5"/>
  <c r="Q14" i="5"/>
  <c r="AD14" i="5" s="1"/>
  <c r="R14" i="5"/>
  <c r="S14" i="5"/>
  <c r="T14" i="5"/>
  <c r="U14" i="5"/>
  <c r="V14" i="5"/>
  <c r="W14" i="5"/>
  <c r="P16" i="5"/>
  <c r="C42" i="4" s="1"/>
  <c r="AD16" i="5"/>
  <c r="D42" i="4" s="1"/>
  <c r="P18" i="5"/>
  <c r="AD18" i="5"/>
  <c r="P19" i="5"/>
  <c r="AD19" i="5"/>
  <c r="L21" i="5"/>
  <c r="P21" i="5"/>
  <c r="Z21" i="5"/>
  <c r="AD21" i="5"/>
  <c r="P22" i="5"/>
  <c r="AD22" i="5"/>
  <c r="P23" i="5"/>
  <c r="AD23" i="5"/>
  <c r="P24" i="5"/>
  <c r="AD24" i="5"/>
  <c r="D63" i="4" s="1"/>
  <c r="D65" i="4" l="1"/>
  <c r="D64" i="4"/>
  <c r="P14" i="5"/>
  <c r="C46" i="4" l="1"/>
  <c r="C47" i="4" s="1"/>
  <c r="D46" i="4" l="1"/>
  <c r="D47" i="4" s="1"/>
  <c r="I7" i="2" l="1"/>
  <c r="L7" i="2"/>
  <c r="O72" i="4" l="1"/>
  <c r="P72" i="4"/>
  <c r="Q72" i="4"/>
  <c r="R72" i="4"/>
  <c r="C39" i="4" l="1"/>
  <c r="D39" i="4" l="1"/>
  <c r="D6" i="4" l="1"/>
  <c r="D7" i="4" s="1"/>
  <c r="D8" i="4" s="1"/>
  <c r="D9" i="4"/>
  <c r="D10" i="4" s="1"/>
  <c r="D11" i="4" s="1"/>
  <c r="D30" i="4"/>
  <c r="D31" i="4" s="1"/>
  <c r="D32" i="4" s="1"/>
  <c r="D43" i="4"/>
  <c r="D44" i="4" s="1"/>
  <c r="D48" i="4"/>
  <c r="D49" i="4" s="1"/>
  <c r="D50" i="4" s="1"/>
  <c r="D51" i="4"/>
  <c r="D52" i="4" s="1"/>
  <c r="D53" i="4" s="1"/>
  <c r="D12" i="4"/>
  <c r="D13" i="4" s="1"/>
  <c r="D14" i="4" s="1"/>
  <c r="D21" i="4"/>
  <c r="D22" i="4" s="1"/>
  <c r="D23" i="4" s="1"/>
  <c r="D60" i="4"/>
  <c r="D61" i="4" s="1"/>
  <c r="D3" i="4"/>
  <c r="D4" i="4" s="1"/>
  <c r="D5" i="4" s="1"/>
  <c r="C6" i="4"/>
  <c r="C7" i="4" s="1"/>
  <c r="C8" i="4" s="1"/>
  <c r="C9" i="4"/>
  <c r="C10" i="4" s="1"/>
  <c r="C11" i="4" s="1"/>
  <c r="C18" i="4"/>
  <c r="C19" i="4" s="1"/>
  <c r="C20" i="4" s="1"/>
  <c r="C30" i="4"/>
  <c r="C31" i="4" s="1"/>
  <c r="C32" i="4" s="1"/>
  <c r="C43" i="4"/>
  <c r="C44" i="4" s="1"/>
  <c r="C48" i="4"/>
  <c r="C49" i="4" s="1"/>
  <c r="C50" i="4" s="1"/>
  <c r="C51" i="4"/>
  <c r="C52" i="4" s="1"/>
  <c r="C53" i="4" s="1"/>
  <c r="C12" i="4"/>
  <c r="C13" i="4" s="1"/>
  <c r="C14" i="4" s="1"/>
  <c r="C21" i="4"/>
  <c r="C22" i="4" s="1"/>
  <c r="C23" i="4" s="1"/>
  <c r="C60" i="4"/>
  <c r="C61" i="4" s="1"/>
  <c r="C62" i="4" s="1"/>
  <c r="C63" i="4"/>
  <c r="C3" i="4"/>
  <c r="C4" i="4" s="1"/>
  <c r="C5" i="4" s="1"/>
  <c r="C64" i="4" l="1"/>
  <c r="C65" i="4"/>
  <c r="C33" i="4"/>
  <c r="C34" i="4" s="1"/>
  <c r="C35" i="4" s="1"/>
  <c r="D33" i="4"/>
  <c r="D34" i="4" s="1"/>
  <c r="D35" i="4" s="1"/>
  <c r="D19" i="4" l="1"/>
  <c r="D20" i="4" s="1"/>
  <c r="J11" i="2" l="1"/>
  <c r="L8" i="1" l="1"/>
  <c r="O8" i="1" s="1"/>
  <c r="M8" i="1" l="1"/>
  <c r="G11" i="2"/>
  <c r="G10" i="2"/>
  <c r="L6" i="1"/>
  <c r="H11" i="2"/>
  <c r="H10" i="2"/>
  <c r="L7" i="1"/>
  <c r="M7" i="1" l="1"/>
  <c r="O7" i="1"/>
  <c r="G18" i="2"/>
  <c r="H18" i="2"/>
  <c r="I8" i="2" l="1"/>
  <c r="L8" i="2" l="1"/>
  <c r="M8" i="2" s="1"/>
  <c r="D57" i="4" l="1"/>
  <c r="D58" i="4" s="1"/>
  <c r="D59" i="4" s="1"/>
  <c r="D10" i="1" l="1"/>
  <c r="L10" i="1" l="1"/>
  <c r="D36" i="4" l="1"/>
  <c r="D37" i="4" l="1"/>
  <c r="D38" i="4" s="1"/>
  <c r="C36" i="4"/>
  <c r="C37" i="4" s="1"/>
  <c r="C38" i="4" s="1"/>
  <c r="C57" i="4" l="1"/>
  <c r="C58" i="4" l="1"/>
  <c r="C59" i="4" s="1"/>
  <c r="I16" i="2"/>
  <c r="L16" i="2" s="1"/>
  <c r="I15" i="2"/>
  <c r="L15" i="2" s="1"/>
  <c r="I14" i="2"/>
  <c r="L14" i="2" s="1"/>
  <c r="I13" i="2"/>
  <c r="I12" i="2"/>
  <c r="L12" i="2" s="1"/>
  <c r="F11" i="2"/>
  <c r="J10" i="2"/>
  <c r="I10" i="2" s="1"/>
  <c r="F10" i="2"/>
  <c r="I9" i="2"/>
  <c r="L9" i="2" s="1"/>
  <c r="M7" i="2"/>
  <c r="F18" i="2" l="1"/>
  <c r="L11" i="2"/>
  <c r="M11" i="2" s="1"/>
  <c r="I18" i="2"/>
  <c r="J18" i="2"/>
  <c r="L10" i="2"/>
  <c r="L18" i="2" l="1"/>
  <c r="N18" i="2" s="1"/>
  <c r="M10" i="2"/>
  <c r="M18" i="2" l="1"/>
  <c r="N18" i="6" l="1"/>
  <c r="C49" i="6" l="1"/>
  <c r="I48" i="6" l="1"/>
  <c r="J6" i="6" l="1"/>
  <c r="J5" i="6"/>
  <c r="J7" i="6" s="1"/>
  <c r="H20" i="6" l="1"/>
  <c r="G19" i="6"/>
  <c r="G20" i="6" s="1"/>
  <c r="H32" i="6"/>
  <c r="G34" i="6"/>
  <c r="F34" i="6"/>
  <c r="E18" i="6" l="1"/>
  <c r="E20" i="6" s="1"/>
  <c r="G4" i="6" l="1"/>
  <c r="D36" i="6" l="1"/>
  <c r="D32" i="6" l="1"/>
  <c r="D28" i="6"/>
  <c r="E28" i="6" s="1"/>
  <c r="D24" i="6" l="1"/>
  <c r="D21" i="6"/>
  <c r="D16" i="6"/>
  <c r="D13" i="6" l="1"/>
  <c r="D12" i="6"/>
  <c r="D6" i="6"/>
  <c r="D14" i="6" l="1"/>
  <c r="A22" i="6"/>
  <c r="A19" i="6"/>
  <c r="A17" i="6" l="1"/>
  <c r="A12" i="6" l="1"/>
  <c r="A2" i="6"/>
  <c r="A5" i="6" l="1"/>
  <c r="J6" i="9" l="1"/>
  <c r="J7" i="9"/>
  <c r="L3" i="9"/>
  <c r="L6" i="9"/>
  <c r="L11" i="9" s="1"/>
  <c r="J11" i="9"/>
  <c r="J8" i="8"/>
  <c r="J13" i="8"/>
  <c r="J16" i="7"/>
  <c r="H18" i="8"/>
  <c r="G18" i="8"/>
  <c r="L6" i="7"/>
  <c r="L11" i="7" s="1"/>
  <c r="J6" i="7"/>
  <c r="L3" i="7"/>
  <c r="D3" i="8"/>
  <c r="G33" i="3" l="1"/>
  <c r="G28" i="3"/>
  <c r="M19" i="3"/>
  <c r="F22" i="3"/>
  <c r="G22" i="3" s="1"/>
  <c r="N10" i="3"/>
  <c r="M10" i="3"/>
  <c r="N4" i="3"/>
  <c r="D4" i="3" s="1"/>
  <c r="D7" i="3" s="1"/>
  <c r="K26" i="3" l="1"/>
  <c r="F21" i="3"/>
  <c r="G21" i="3" s="1"/>
  <c r="D5" i="3"/>
  <c r="C5" i="3" s="1"/>
  <c r="C4" i="3"/>
  <c r="F10" i="3"/>
  <c r="G10" i="3" s="1"/>
  <c r="F12" i="3"/>
  <c r="G12" i="3" s="1"/>
  <c r="O4" i="3"/>
  <c r="D6" i="3" s="1"/>
  <c r="C6" i="3" s="1"/>
  <c r="F16" i="3"/>
  <c r="L10" i="3" s="1"/>
  <c r="F14" i="3"/>
  <c r="G14" i="3" s="1"/>
  <c r="F19" i="3"/>
  <c r="G19" i="3" s="1"/>
  <c r="F23" i="3"/>
  <c r="G23" i="3" s="1"/>
  <c r="L3" i="3"/>
  <c r="F7" i="3" s="1"/>
  <c r="F11" i="3"/>
  <c r="G11" i="3" s="1"/>
  <c r="F13" i="3"/>
  <c r="F15" i="3"/>
  <c r="G15" i="3" s="1"/>
  <c r="F20" i="3"/>
  <c r="G20" i="3" s="1"/>
  <c r="B4" i="3" l="1"/>
  <c r="G11" i="9"/>
  <c r="H11" i="9" s="1"/>
  <c r="G6" i="9"/>
  <c r="G5" i="9"/>
  <c r="B6" i="3"/>
  <c r="G14" i="8"/>
  <c r="F25" i="3"/>
  <c r="L19" i="3" s="1"/>
  <c r="L26" i="3" s="1"/>
  <c r="L30" i="3" s="1"/>
  <c r="G16" i="3"/>
  <c r="G5" i="7"/>
  <c r="B5" i="3"/>
  <c r="G11" i="7"/>
  <c r="H11" i="7" s="1"/>
  <c r="G6" i="7"/>
  <c r="M26" i="3"/>
  <c r="G7" i="3"/>
  <c r="E7" i="3"/>
  <c r="G13" i="3"/>
  <c r="F17" i="3"/>
  <c r="G17" i="3" s="1"/>
  <c r="M3" i="3"/>
  <c r="G17" i="9" l="1"/>
  <c r="G20" i="9" s="1"/>
  <c r="I25" i="3"/>
  <c r="I24" i="3" s="1"/>
  <c r="N19" i="3" s="1"/>
  <c r="J3" i="9"/>
  <c r="G4" i="9"/>
  <c r="G3" i="9" s="1"/>
  <c r="H6" i="9" s="1"/>
  <c r="G25" i="3"/>
  <c r="J3" i="8"/>
  <c r="G19" i="8"/>
  <c r="G4" i="7"/>
  <c r="J3" i="7"/>
  <c r="G8" i="8"/>
  <c r="H8" i="8" s="1"/>
  <c r="H3" i="8" s="1"/>
  <c r="B7" i="3"/>
  <c r="N3" i="3"/>
  <c r="O3" i="3"/>
  <c r="F6" i="3" s="1"/>
  <c r="A8" i="6" l="1"/>
  <c r="F24" i="3"/>
  <c r="F26" i="3" s="1"/>
  <c r="J4" i="9"/>
  <c r="G20" i="8"/>
  <c r="H20" i="8" s="1"/>
  <c r="L3" i="8" s="1"/>
  <c r="L8" i="8" s="1"/>
  <c r="G21" i="8"/>
  <c r="G3" i="8"/>
  <c r="F5" i="3"/>
  <c r="F4" i="3"/>
  <c r="G6" i="3"/>
  <c r="E6" i="3"/>
  <c r="N26" i="3" l="1"/>
  <c r="G24" i="3"/>
  <c r="G26" i="3"/>
  <c r="F29" i="3"/>
  <c r="G4" i="3"/>
  <c r="F8" i="3"/>
  <c r="E4" i="3"/>
  <c r="G5" i="3"/>
  <c r="E5" i="3"/>
  <c r="I7" i="3" l="1"/>
  <c r="I6" i="3"/>
  <c r="G8" i="3"/>
  <c r="I4" i="3"/>
  <c r="F30" i="3"/>
  <c r="G30" i="3" s="1"/>
  <c r="G29" i="3"/>
  <c r="I5" i="3"/>
  <c r="E8" i="3"/>
  <c r="G3" i="7" l="1"/>
  <c r="H3" i="7" s="1"/>
  <c r="H6" i="7" s="1"/>
  <c r="J4" i="7"/>
  <c r="J11" i="7"/>
  <c r="L13" i="2"/>
</calcChain>
</file>

<file path=xl/sharedStrings.xml><?xml version="1.0" encoding="utf-8"?>
<sst xmlns="http://schemas.openxmlformats.org/spreadsheetml/2006/main" count="724" uniqueCount="501">
  <si>
    <r>
      <rPr>
        <sz val="11"/>
        <color theme="1"/>
        <rFont val="Times New Roman"/>
        <family val="1"/>
        <charset val="204"/>
      </rPr>
      <t>Програма за техническа помощ 2021-2027 г.</t>
    </r>
  </si>
  <si>
    <r>
      <rPr>
        <b/>
        <sz val="9"/>
        <color rgb="FF000000"/>
        <rFont val="Times New Roman"/>
        <family val="1"/>
        <charset val="204"/>
      </rPr>
      <t>EUR, принос на ЕС</t>
    </r>
  </si>
  <si>
    <r>
      <rPr>
        <b/>
        <sz val="13"/>
        <color rgb="FF000000"/>
        <rFont val="Times New Roman"/>
        <family val="1"/>
        <charset val="204"/>
      </rPr>
      <t>Таблица 10: Финансови бюджетни кредити по година</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</si>
  <si>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</si>
  <si>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</si>
  <si>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Общо</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</si>
  <si>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</si>
  <si>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</si>
  <si>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</si>
  <si>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</si>
  <si>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sz val="10"/>
        <color rgb="FF000000"/>
        <rFont val="Times New Roman"/>
        <family val="1"/>
        <charset val="204"/>
      </rPr>
      <t>ЕФРР</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</si>
  <si>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</si>
  <si>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</si>
  <si>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</si>
  <si>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</si>
  <si>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b/>
        <sz val="10"/>
        <color rgb="FF000000"/>
        <rFont val="Times New Roman"/>
        <family val="1"/>
        <charset val="204"/>
      </rPr>
      <t>Общо</t>
    </r>
  </si>
  <si>
    <r>
      <rPr>
        <b/>
        <sz val="11"/>
        <color rgb="FF000000"/>
        <rFont val="Times New Roman"/>
        <family val="1"/>
        <charset val="204"/>
      </rPr>
      <t xml:space="preserve"> - </t>
    </r>
  </si>
  <si>
    <r>
      <rPr>
        <b/>
        <sz val="11"/>
        <color theme="1"/>
        <rFont val="Times New Roman"/>
        <family val="1"/>
        <charset val="204"/>
      </rPr>
      <t>Таблица 11: 3.2‭ ‬Общо финансови бюджетни кредити по фонд и национално съфинансиране</t>
    </r>
  </si>
  <si>
    <r>
      <rPr>
        <b/>
        <sz val="11"/>
        <color rgb="FF000000"/>
        <rFont val="Times New Roman"/>
        <family val="1"/>
        <charset val="204"/>
      </rPr>
      <t>Цели на политиката Не или ТП</t>
    </r>
  </si>
  <si>
    <r>
      <rPr>
        <b/>
        <sz val="11"/>
        <color rgb="FF000000"/>
        <rFont val="Times New Roman"/>
        <family val="1"/>
        <charset val="204"/>
      </rPr>
      <t>Приоритет</t>
    </r>
  </si>
  <si>
    <r>
      <rPr>
        <b/>
        <sz val="11"/>
        <color rgb="FF000000"/>
        <rFont val="Times New Roman"/>
        <family val="1"/>
        <charset val="204"/>
      </rPr>
      <t>Основа за изчисляване на подпомагането от ЕС‭ (‬общо или публично‭)</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</si>
  <si>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</si>
  <si>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</si>
  <si>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 xml:space="preserve">Принос на ЕС </t>
    </r>
  </si>
  <si>
    <r>
      <rPr>
        <b/>
        <sz val="11"/>
        <color rgb="FF000000"/>
        <rFont val="Times New Roman"/>
        <family val="1"/>
        <charset val="204"/>
      </rPr>
      <t>Национален принос</t>
    </r>
  </si>
  <si>
    <r>
      <rPr>
        <b/>
        <sz val="11"/>
        <color rgb="FF000000"/>
        <rFont val="Times New Roman"/>
        <family val="1"/>
        <charset val="204"/>
      </rPr>
      <t>Ориентировъчно разпределение на националното участие</t>
    </r>
  </si>
  <si>
    <r>
      <rPr>
        <b/>
        <sz val="11"/>
        <color rgb="FF000000"/>
        <rFont val="Times New Roman"/>
        <family val="1"/>
        <charset val="204"/>
      </rPr>
      <t>Общо</t>
    </r>
  </si>
  <si>
    <r>
      <rPr>
        <b/>
        <sz val="11"/>
        <color rgb="FF000000"/>
        <rFont val="Times New Roman"/>
        <family val="1"/>
        <charset val="204"/>
      </rPr>
      <t>Процент на съфинансиране</t>
    </r>
  </si>
  <si>
    <r>
      <rPr>
        <b/>
        <sz val="11"/>
        <color rgb="FF000000"/>
        <rFont val="Times New Roman"/>
        <family val="1"/>
        <charset val="204"/>
      </rPr>
      <t>публично‭</t>
    </r>
  </si>
  <si>
    <r>
      <rPr>
        <b/>
        <sz val="11"/>
        <color rgb="FF000000"/>
        <rFont val="Times New Roman"/>
        <family val="1"/>
        <charset val="204"/>
      </rPr>
      <t>частно‭</t>
    </r>
  </si>
  <si>
    <r>
      <rPr>
        <sz val="11"/>
        <color rgb="FF000000"/>
        <rFont val="Times New Roman"/>
        <family val="1"/>
        <charset val="204"/>
      </rPr>
      <t>(а)</t>
    </r>
  </si>
  <si>
    <r>
      <rPr>
        <sz val="11"/>
        <color rgb="FF000000"/>
        <rFont val="Times New Roman"/>
        <family val="1"/>
        <charset val="204"/>
      </rPr>
      <t>(б‭)=(в‬)+‭(‬г)</t>
    </r>
  </si>
  <si>
    <r>
      <rPr>
        <sz val="11"/>
        <color rgb="FF000000"/>
        <rFont val="Times New Roman"/>
        <family val="1"/>
        <charset val="204"/>
      </rPr>
      <t>(в)</t>
    </r>
  </si>
  <si>
    <r>
      <rPr>
        <sz val="11"/>
        <color rgb="FF000000"/>
        <rFont val="Times New Roman"/>
        <family val="1"/>
        <charset val="204"/>
      </rPr>
      <t>(г)</t>
    </r>
  </si>
  <si>
    <r>
      <rPr>
        <sz val="11"/>
        <color rgb="FF000000"/>
        <rFont val="Times New Roman"/>
        <family val="1"/>
        <charset val="204"/>
      </rPr>
      <t>(д)=(‬a‭)‬+‭(‬б)**</t>
    </r>
  </si>
  <si>
    <r>
      <rPr>
        <sz val="11"/>
        <color rgb="FF000000"/>
        <rFont val="Times New Roman"/>
        <family val="1"/>
        <charset val="204"/>
      </rPr>
      <t>(е‭)=(‬a‭)‬/‭(д)**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</si>
  <si>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</si>
  <si>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</si>
  <si>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</si>
  <si>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</si>
  <si>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Преход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</si>
  <si>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</si>
  <si>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</si>
  <si>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</si>
  <si>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</si>
  <si>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По-слабо развити региони</t>
    </r>
  </si>
  <si>
    <r>
      <rPr>
        <b/>
        <sz val="11"/>
        <color rgb="FF000000"/>
        <rFont val="Times New Roman"/>
        <family val="1"/>
        <charset val="204"/>
      </rPr>
      <t>Общо ЕФРР</t>
    </r>
  </si>
  <si>
    <r>
      <rPr>
        <i/>
        <sz val="11"/>
        <color rgb="FF000000"/>
        <rFont val="Times New Roman"/>
        <family val="1"/>
        <charset val="204"/>
      </rPr>
      <t>По-силно развити региони</t>
    </r>
  </si>
  <si>
    <r>
      <rPr>
        <i/>
        <sz val="11"/>
        <color rgb="FF000000"/>
        <rFont val="Times New Roman"/>
        <family val="1"/>
        <charset val="204"/>
      </rPr>
      <t>Преход</t>
    </r>
  </si>
  <si>
    <r>
      <rPr>
        <i/>
        <sz val="11"/>
        <color rgb="FF000000"/>
        <rFont val="Times New Roman"/>
        <family val="1"/>
        <charset val="204"/>
      </rPr>
      <t>По-слабо развити региони</t>
    </r>
  </si>
  <si>
    <r>
      <rPr>
        <i/>
        <sz val="11"/>
        <color rgb="FF000000"/>
        <rFont val="Times New Roman"/>
        <family val="1"/>
        <charset val="204"/>
      </rPr>
      <t xml:space="preserve">Най-отдалечени </t>
    </r>
  </si>
  <si>
    <r>
      <rPr>
        <b/>
        <sz val="11"/>
        <color rgb="FF000000"/>
        <rFont val="Times New Roman"/>
        <family val="1"/>
        <charset val="204"/>
      </rPr>
      <t>Общо ЕСФ+</t>
    </r>
  </si>
  <si>
    <r>
      <rPr>
        <i/>
        <sz val="8"/>
        <color rgb="FF000000"/>
        <rFont val="Times New Roman"/>
        <family val="1"/>
        <charset val="204"/>
      </rPr>
      <t>По-силно развити региони</t>
    </r>
  </si>
  <si>
    <r>
      <rPr>
        <i/>
        <sz val="8"/>
        <color rgb="FF000000"/>
        <rFont val="Times New Roman"/>
        <family val="1"/>
        <charset val="204"/>
      </rPr>
      <t>Преход</t>
    </r>
  </si>
  <si>
    <r>
      <rPr>
        <i/>
        <sz val="8"/>
        <color rgb="FF000000"/>
        <rFont val="Times New Roman"/>
        <family val="1"/>
        <charset val="204"/>
      </rPr>
      <t>По-слабо развити региони</t>
    </r>
  </si>
  <si>
    <r>
      <rPr>
        <i/>
        <sz val="8"/>
        <color rgb="FF000000"/>
        <rFont val="Times New Roman"/>
        <family val="1"/>
        <charset val="204"/>
      </rPr>
      <t>Специално разпределени средства за най-отдалечените или северни слабо населени региони</t>
    </r>
  </si>
  <si>
    <r>
      <rPr>
        <b/>
        <sz val="11"/>
        <color rgb="FF000000"/>
        <rFont val="Times New Roman"/>
        <family val="1"/>
        <charset val="204"/>
      </rPr>
      <t>Общо КФ</t>
    </r>
  </si>
  <si>
    <r>
      <rPr>
        <sz val="11"/>
        <color rgb="FF000000"/>
        <rFont val="Times New Roman"/>
        <family val="1"/>
        <charset val="204"/>
      </rPr>
      <t>неприложимо</t>
    </r>
  </si>
  <si>
    <r>
      <rPr>
        <b/>
        <sz val="11"/>
        <color rgb="FF000000"/>
        <rFont val="Times New Roman"/>
        <family val="1"/>
        <charset val="204"/>
      </rPr>
      <t>Общо</t>
    </r>
  </si>
  <si>
    <r>
      <rPr>
        <b/>
        <sz val="11"/>
        <color theme="1"/>
        <rFont val="Times New Roman"/>
        <family val="1"/>
        <charset val="204"/>
      </rPr>
      <t>Бенефициенти и заинтересовани страни, допринасящи за постигането на показатели:
Показатели:</t>
    </r>
  </si>
  <si>
    <r>
      <rPr>
        <b/>
        <sz val="11"/>
        <color theme="1"/>
        <rFont val="Times New Roman"/>
        <family val="1"/>
        <charset val="204"/>
      </rPr>
      <t>Етапна цел (2024)</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</si>
  <si>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</si>
  <si>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</si>
  <si>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</si>
  <si>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АОП</t>
    </r>
  </si>
  <si>
    <r>
      <rPr>
        <sz val="9"/>
        <rFont val="Times New Roman"/>
        <family val="1"/>
        <charset val="204"/>
      </rPr>
      <t>Общини</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</si>
  <si>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</si>
  <si>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</si>
  <si>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</si>
  <si>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</si>
  <si>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</si>
  <si>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</si>
  <si>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</si>
  <si>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</si>
  <si>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НРПД</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</si>
  <si>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</si>
  <si>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</si>
  <si>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</si>
  <si>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</si>
  <si>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</si>
  <si>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11.5"/>
        <color theme="1"/>
        <rFont val="Times New Roman"/>
        <family val="1"/>
        <charset val="204"/>
      </rPr>
      <t xml:space="preserve">(О1-1) </t>
    </r>
  </si>
  <si>
    <t>КОНЦЕПЦИЯ ЗА  ПРОГРАМА "НАУКА И ОБРАЗОВАНИЕ" 2021-2027 Г.</t>
  </si>
  <si>
    <t>Разпределение на финансовия ресурс по ПО 1</t>
  </si>
  <si>
    <t>Група дейности</t>
  </si>
  <si>
    <t>ФИ ЕС</t>
  </si>
  <si>
    <t>БФП+ФИ ЕС</t>
  </si>
  <si>
    <t>БФП+ФИ</t>
  </si>
  <si>
    <t>Бюджет в евро ЕС</t>
  </si>
  <si>
    <t>Бюджет в евро</t>
  </si>
  <si>
    <t>Бюджет в лева</t>
  </si>
  <si>
    <t>Начин на изпълнение</t>
  </si>
  <si>
    <t>% Разпределение от ПО1</t>
  </si>
  <si>
    <t>% за Хоризонт</t>
  </si>
  <si>
    <t>бюджет ПO 1 общо</t>
  </si>
  <si>
    <t>финасови инструменти (20%)</t>
  </si>
  <si>
    <t>БФП остатък бюджет ПO 1</t>
  </si>
  <si>
    <t>бюджет инфраструктура и оборудване (70%)</t>
  </si>
  <si>
    <t>бюджет научни изследвания (30%)</t>
  </si>
  <si>
    <t>ПО 1 Научна инфраструктура и изследвания (ЕФРР)</t>
  </si>
  <si>
    <t>Хоризонт Европа - инфраструктура и seal of excellence - инфраструктура, оборудване и изследвания</t>
  </si>
  <si>
    <t>Директно предоставяне</t>
  </si>
  <si>
    <t>Центрове за върхови постижения и Центрове за компетентност - инфраструктура, оборудване и научни изследвания (Директно предоставяне)</t>
  </si>
  <si>
    <t>Директно предоставяне</t>
  </si>
  <si>
    <t xml:space="preserve">Научни изследвания </t>
  </si>
  <si>
    <t>Конкретен бенефициент или Междинно звено за подбор на проекти/ АНИ (Агенция за наука и иновации )</t>
  </si>
  <si>
    <t>Финансови иснтрументи - заеми, гаранции, рисков капитал</t>
  </si>
  <si>
    <t>Фонд на фондовете/фонд за технологичен трансфер</t>
  </si>
  <si>
    <t>Общо за приоритетната ос</t>
  </si>
  <si>
    <t>ПО 2 Модернизация и качество на образованието (ЕСФ+)</t>
  </si>
  <si>
    <t>% Разпределение от ПО2</t>
  </si>
  <si>
    <t>бюджет ПО 2 общо</t>
  </si>
  <si>
    <t xml:space="preserve">Териториален иснтрумент </t>
  </si>
  <si>
    <t>Директно предоставяне</t>
  </si>
  <si>
    <t>Конкурентен подбор</t>
  </si>
  <si>
    <t>Качество в училищното образованието+ квалификация на педаг. спец. (промяна на уч. програми и методи на преподаване, нови умения на учениците и пед. Специалисти, мобилност)</t>
  </si>
  <si>
    <t>Директно предоставяне на МОН</t>
  </si>
  <si>
    <t>Модернизация на образованието/ ИКТ+ квалификация на педаг. спец. (иновации, дигитални ресурси, интерактивно съдържание, дигитална креативност, нови умения на учениците и пед. Специалисти, граждански ценности)</t>
  </si>
  <si>
    <t>Директно предоставяне на МОН</t>
  </si>
  <si>
    <t>Допълняемост с централно управлявани инструменти - Еразъм +, Хоризонт Европа, Мария Кюри</t>
  </si>
  <si>
    <t>Директно предоставяне на МОН</t>
  </si>
  <si>
    <t>Валидиране на знания и умения, професионални центрове за върхови постижения, учебно тренировъчни фирми, ученически практики</t>
  </si>
  <si>
    <t>Процедура на подбор с браншови организации</t>
  </si>
  <si>
    <t>Студентски практики (връзка с пазара на труда)</t>
  </si>
  <si>
    <t>Процедура на подбор висши училища</t>
  </si>
  <si>
    <t>Висше образование (дигитализация, подобряване качеството на управление и преподаване, учебни програми, връзка с пазара на труда, участие в международни мрежи, мобилност)</t>
  </si>
  <si>
    <t>Процедура на подбор висши училища</t>
  </si>
  <si>
    <r>
      <rPr>
        <b/>
        <sz val="12"/>
        <color theme="1"/>
        <rFont val="Candara"/>
        <family val="2"/>
        <charset val="204"/>
      </rPr>
      <t>Интегрирани териториални инвестиции (ИТИ)</t>
    </r>
    <r>
      <rPr>
        <sz val="12"/>
        <color theme="1"/>
        <rFont val="Candara"/>
        <family val="2"/>
        <charset val="204"/>
      </rPr>
      <t xml:space="preserve"> Професионално образование и обучение +квалификация на педаг. спец. (връзка с пазара на труда, ЦПО, дуална система на обучение, ученически практики)</t>
    </r>
  </si>
  <si>
    <t>Процедура на подбор</t>
  </si>
  <si>
    <t>Общо за приоритетната ос</t>
  </si>
  <si>
    <t xml:space="preserve">ПО 3 Приобщаващо образование (ЕСФ+)
</t>
  </si>
  <si>
    <t>% Разпределение от ПО2</t>
  </si>
  <si>
    <t>бюджет ПО 2 общо</t>
  </si>
  <si>
    <t xml:space="preserve">Териториален иснтрумент </t>
  </si>
  <si>
    <t>Директно предоставяне</t>
  </si>
  <si>
    <t>Конкурентен подбор</t>
  </si>
  <si>
    <t xml:space="preserve">Намаляване на преждевременно напусналите училище (обща подкрепа за личностно развитие, десегрегация,  ученици с пропуски в усвояването на уч. материал, ученици в риск от отпадане от обр. система) </t>
  </si>
  <si>
    <t>Директно предоставяне на МОН</t>
  </si>
  <si>
    <t>Активно приобщаване в предучилищно образование (обхват на децата, разработване на специализирани методики, педагогическа, психологическа и социална подкрепа на деца от уязвими социално слаби групи, промяна на уч. програми и методи на преподаване)</t>
  </si>
  <si>
    <t>Директно предоставяне на МОН</t>
  </si>
  <si>
    <t>Включващо обучение (подпомагане на младежи с увреждания и от уязвими социално слаби групи за кандидатстване във висши училища, алтернативни модели за работа с ученици с девиантно поведение, развитие на подкрепяща среда за деца и ученици със СОП)</t>
  </si>
  <si>
    <t>Директно предоставяне на МОН</t>
  </si>
  <si>
    <t>Талантливи деца и ученици с изявени дарби</t>
  </si>
  <si>
    <t>Директно предоставяне на МОН</t>
  </si>
  <si>
    <t xml:space="preserve">Ограмотяване на възрастни </t>
  </si>
  <si>
    <t>Процедура на подбор</t>
  </si>
  <si>
    <t>Проходимост на уязвими групи в отделните образователни етапи и достъп до висше образование.</t>
  </si>
  <si>
    <t>Процедура на подбор</t>
  </si>
  <si>
    <r>
      <rPr>
        <b/>
        <sz val="12"/>
        <color theme="1"/>
        <rFont val="Candara"/>
        <family val="2"/>
        <charset val="204"/>
      </rPr>
      <t>ВОМР -</t>
    </r>
    <r>
      <rPr>
        <sz val="12"/>
        <color theme="1"/>
        <rFont val="Candara"/>
        <family val="2"/>
        <charset val="204"/>
      </rPr>
      <t xml:space="preserve"> Работа с родители от уязвими групи (работа с родителите на децата в риск от ранно отпадане чрез включване на представители на неправителствени организации, образователни медиатори, социални работници, ромски авторитети и лидери, насърчаване на сътрудничеството с педагогическите специалисти)</t>
    </r>
  </si>
  <si>
    <t>Процедура на подбор</t>
  </si>
  <si>
    <t>бюджет ЕСФ общо</t>
  </si>
  <si>
    <t xml:space="preserve">Териториален иснтрумент </t>
  </si>
  <si>
    <t>Директно предоставяне</t>
  </si>
  <si>
    <t>Конкурентен подбор</t>
  </si>
  <si>
    <t>Общо за приоритетната ос</t>
  </si>
  <si>
    <t xml:space="preserve">ПО4 Техническа помощ (ЕСФ+)
</t>
  </si>
  <si>
    <t>Общо за приоритетната ос</t>
  </si>
  <si>
    <t>Общо за ЕСФ</t>
  </si>
  <si>
    <t>бюджет ОПНО общо</t>
  </si>
  <si>
    <t xml:space="preserve">Териториален иснтрумент </t>
  </si>
  <si>
    <t>Общо за оперативната програма</t>
  </si>
  <si>
    <t>общ брой деца</t>
  </si>
  <si>
    <t>общо учащи</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</si>
  <si>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</si>
  <si>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</si>
  <si>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</si>
  <si>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</si>
  <si>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</si>
  <si>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</si>
  <si>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</si>
  <si>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</si>
  <si>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</si>
  <si>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</si>
  <si>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</si>
  <si>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</si>
  <si>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Повишаване на конкурентоспособността и ефикасността на системата за научни изследвания, като се постави акцент върху постиганите резултати и се създадат стимули за привличане на квалифицирани научни изследователи (напр. подобряване на условията на труд, международно сътрудничество и мобилност, сътрудничество с бизнеса);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</si>
  <si>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</si>
  <si>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r>
      <rPr>
        <b/>
        <sz val="9"/>
        <color theme="1"/>
        <rFont val="Times New Roman"/>
        <family val="1"/>
        <charset val="204"/>
      </rPr>
      <t>Приоритет 3: Научна инфраструктура и приложни изследвания</t>
    </r>
    <r>
      <rPr>
        <sz val="9"/>
        <color theme="1"/>
        <rFont val="Times New Roman"/>
        <family val="1"/>
        <charset val="204"/>
      </rPr>
      <t xml:space="preserve">
Цел: Подобряване на капацитета за научни изследвания, насочени към резултати, чрез модернизация на научната инфраструктура, подобряване на условията на труд и мобилност на учените. 
</t>
    </r>
  </si>
  <si>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</si>
  <si>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ИТ свързаност и съпътстващата инфраструктура в стратегически определени научни центрове за върхови постижения и центрове за компетентност</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</si>
  <si>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</si>
  <si>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</si>
  <si>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</si>
  <si>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</si>
  <si>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</si>
  <si>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стратегически определени научни центрове за върхови постижения и центрове за компетентност</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</si>
  <si>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</si>
  <si>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</si>
  <si>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</si>
  <si>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на  в стратегически определени научни центрове за върхови постижения и центрове за компетентност, чрез:</t>
  </si>
  <si>
    <t>RCO 07 Научноизследователски институции участващи в съвместни проекти за научни изследвания;</t>
  </si>
  <si>
    <t xml:space="preserve">Изграждане на мрежи и съвместна научно-изследователска дейност с водещи европейски научни организации и университети, подкрепа за присъединяване към пан-европейски научно-изследователски инфраструктури </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</si>
  <si>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</si>
  <si>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</si>
  <si>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в стратегически определени научни центрове за върхови постижения и центрове за компетентност,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</si>
  <si>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</si>
  <si>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</si>
  <si>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</si>
  <si>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</si>
  <si>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установяването, придобиването, защитаването и използване, управление  и прехвърляне на права по интелектуална собственостна п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</si>
  <si>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</si>
  <si>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</si>
  <si>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5. Подкрепа за високотехнологични стартиращи предприятия на подкрепените   стратегически определени научни центрове за върхови постижения и центрове за компетентност</t>
  </si>
  <si>
    <t>RCO 05 - Стартиращи предприятия</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</si>
  <si>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</si>
  <si>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</si>
  <si>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</si>
  <si>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</si>
  <si>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</si>
  <si>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</si>
  <si>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</si>
  <si>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</si>
  <si>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</si>
  <si>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</si>
  <si>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</si>
  <si>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</si>
  <si>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основните целеви групи;</t>
  </si>
  <si>
    <t>развиване на уменията в университетите и научноизследователските институции с цел увеличаване на търговската жизнеспособност и пазарното значение на научноизследователските им проекти и на способността за участие в научноизследователски консорциуми;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</si>
  <si>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</si>
  <si>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</si>
  <si>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</si>
  <si>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</si>
  <si>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</si>
  <si>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</si>
  <si>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Изследователи в научни организации, преподаватели в университети, докторанти, постдокторанти, млади учени, студенти, представители на бизнеса.</t>
  </si>
  <si>
    <t>3. Интернационализация,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</si>
  <si>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</si>
  <si>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</si>
  <si>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</si>
  <si>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</si>
  <si>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</si>
  <si>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</si>
  <si>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</si>
  <si>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</si>
  <si>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</si>
  <si>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</si>
  <si>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</si>
  <si>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</si>
  <si>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 xml:space="preserve">5. Подкрепа за високотехнологични стартиращи предприятия </t>
  </si>
  <si>
    <t>RCO 05 - Стартиращи предприятия</t>
  </si>
  <si>
    <t>общо 009+021</t>
  </si>
  <si>
    <t>ЦК+ЦВП</t>
  </si>
  <si>
    <t>1.2 Изследвания</t>
  </si>
  <si>
    <t xml:space="preserve">Индикативен брой проекти </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</si>
  <si>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</si>
  <si>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</si>
  <si>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</si>
  <si>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</si>
  <si>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</si>
  <si>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показателите за крайния продукт исъс съответните междинни цели и целеви стойности;</t>
  </si>
  <si>
    <t>показателите за резултата със съответните междинни цели и целеви стойности;</t>
  </si>
  <si>
    <t>Кодове на интервенции</t>
  </si>
  <si>
    <t xml:space="preserve">План за финансиране (в евро, европейско финансиране)  </t>
  </si>
  <si>
    <t>видове интервенции и примерна разбивка на програмираните средства в зависимост от вида интервенция или област на подпомагане;</t>
  </si>
  <si>
    <t>планирано използване на техническа помощ в съответствие с членове 30—32 и съответните видове интервенции;</t>
  </si>
  <si>
    <t>планирано използване на финансови инструменти;</t>
  </si>
  <si>
    <t>основните целеви групи;</t>
  </si>
  <si>
    <r>
      <t xml:space="preserve">специфични целеви територии, </t>
    </r>
    <r>
      <rPr>
        <b/>
        <sz val="9"/>
        <color rgb="FF000000"/>
        <rFont val="Times New Roman"/>
        <family val="1"/>
        <charset val="204"/>
      </rPr>
      <t xml:space="preserve">включително </t>
    </r>
    <r>
      <rPr>
        <b/>
        <sz val="9"/>
        <color theme="1"/>
        <rFont val="Times New Roman"/>
        <family val="1"/>
        <charset val="204"/>
      </rPr>
      <t xml:space="preserve">планирано </t>
    </r>
    <r>
      <rPr>
        <b/>
        <sz val="9"/>
        <color rgb="FF000000"/>
        <rFont val="Times New Roman"/>
        <family val="1"/>
        <charset val="204"/>
      </rPr>
      <t>използване на интегрирани териториални инвестиции, водено от общностите местно развитие или други териториални инструменти;</t>
    </r>
  </si>
  <si>
    <r>
      <t>междурегионални и транснационални действия, при които бенефициерите се намират поне в още една друга държава членка</t>
    </r>
    <r>
      <rPr>
        <b/>
        <sz val="9"/>
        <color rgb="FF000000"/>
        <rFont val="Times New Roman"/>
        <family val="1"/>
        <charset val="204"/>
      </rPr>
      <t>;</t>
    </r>
  </si>
  <si>
    <t>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</si>
  <si>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</si>
  <si>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</si>
  <si>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</si>
  <si>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съпътстващата инфраструктура в одобрени проекти по направление "Sharing Excellence" на Хоризонт Европа.</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</si>
  <si>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</si>
  <si>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</si>
  <si>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</si>
  <si>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Изследователи в научни организации, преподаватели в университети, докторанти, постдокторанти, млади учени, студенти, представители на бизнеса.</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</si>
  <si>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</si>
  <si>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</si>
  <si>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проекти по стълб II на Хоризонт Европа, получили печат за високи постижения</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</si>
  <si>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</si>
  <si>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</si>
  <si>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</si>
  <si>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за проекти по стълб II на Хоризонт Европа, получили печат за високи постижения,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</si>
  <si>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</si>
  <si>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</si>
  <si>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</si>
  <si>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</si>
  <si>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за проекти по стълб II на Хоризонт Европа, получили печат за високи постижения,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</si>
  <si>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</si>
  <si>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</si>
  <si>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</si>
  <si>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отворен достъп</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</si>
  <si>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Оценка на пазарния потенциал на научните разработки;</t>
  </si>
  <si>
    <t xml:space="preserve">• участие в научни форуми, </t>
  </si>
  <si>
    <t>• организиране на международни научни форуми;</t>
  </si>
  <si>
    <t>Общо 009+021</t>
  </si>
  <si>
    <t>Индикативен брой инфр. Проекти sharing excellence</t>
  </si>
  <si>
    <t>Идикат брой проекти стълб 2</t>
  </si>
  <si>
    <t>По-слабо развити региони</t>
  </si>
  <si>
    <t>ДП</t>
  </si>
  <si>
    <t>Преход</t>
  </si>
  <si>
    <t>Принос на ЕС без стойност за гъвкавост</t>
  </si>
  <si>
    <t>Ориентировъчно разпределение на‭ ‬приноса на ЕС</t>
  </si>
  <si>
    <t>Стойност за гъвкавост</t>
  </si>
  <si>
    <t>За програмите по цел „Инвестиции за работни места и растеж“ обаче за всяка програма във всяка държава членка се запазва сума, съответстваща на 50 % от участието за 2026 г. и 2027 г. („сума за гъвкавост“),само след приемането на решението на Комисията след междинния преглед по член 18.</t>
  </si>
  <si>
    <t>%</t>
  </si>
  <si>
    <t>стойност за гъвкавост</t>
  </si>
  <si>
    <t>(О1-1) Аналитични доклади и стратегически документи</t>
  </si>
  <si>
    <t>Цел (2029)</t>
  </si>
  <si>
    <t>брой</t>
  </si>
  <si>
    <t>Мерна единица</t>
  </si>
  <si>
    <t>Етапна цел (2024)</t>
  </si>
  <si>
    <t xml:space="preserve">(О1-2) </t>
  </si>
  <si>
    <t>Аналитични доклади и стратегически документи</t>
  </si>
  <si>
    <t xml:space="preserve">(О1-2) Хоризонтални и междусекторни оценки </t>
  </si>
  <si>
    <t>(О1-3)</t>
  </si>
  <si>
    <t>(О1-4)</t>
  </si>
  <si>
    <t>Общини</t>
  </si>
  <si>
    <t>ИПА</t>
  </si>
  <si>
    <t>Намалена административна тежест за бенефициентите</t>
  </si>
  <si>
    <t xml:space="preserve">Специфична цел </t>
  </si>
  <si>
    <t>Показатели за краен  продукт</t>
  </si>
  <si>
    <t xml:space="preserve">Определение </t>
  </si>
  <si>
    <t>Методология (метод на изчисляване)</t>
  </si>
  <si>
    <t>Индикативен списък с действия</t>
  </si>
  <si>
    <t>Очаквани постижения/резултати</t>
  </si>
  <si>
    <t>Стойности на кодове за интервенция (финансиране от ЕС) (EUR)</t>
  </si>
  <si>
    <t>Общо (европейско + национално съфинансиране) (BGN)</t>
  </si>
  <si>
    <t>% ЕФРР</t>
  </si>
  <si>
    <t>1. Оптимизиране на средата за изпълнение на СП</t>
  </si>
  <si>
    <t>% от общата стойност на възнагражденията на служителите на ЦКЗ</t>
  </si>
  <si>
    <t>% от общата стойност на възнагражденията на служителите на ОО</t>
  </si>
  <si>
    <t>% от общата стойност на възнагражденията на служителите на СчО</t>
  </si>
  <si>
    <t>% от общата стойност на възнагражденията на служителите на АФКОС</t>
  </si>
  <si>
    <t>% от общата стойност на възнагражденията на служителите на АОП</t>
  </si>
  <si>
    <t xml:space="preserve">(О1-3) Методически указания и проекти на нормативни актове </t>
  </si>
  <si>
    <t>% от общата стойност на възнагражденията на служителите на УО на ПТП</t>
  </si>
  <si>
    <t>Единна информационна система за държавни помощи</t>
  </si>
  <si>
    <t xml:space="preserve">Хоризонтални и междусекторни оценки </t>
  </si>
  <si>
    <t xml:space="preserve">Методически указания и проекти на нормативни актове </t>
  </si>
  <si>
    <t xml:space="preserve">ОГО и СИП, ангажирани с мониторинг и оценка на СП </t>
  </si>
  <si>
    <t>ОГО и СИП, ангажирани с популяризиране на  резултатите от СП</t>
  </si>
  <si>
    <t>(О1-5)</t>
  </si>
  <si>
    <t xml:space="preserve">(О1-7) </t>
  </si>
  <si>
    <t xml:space="preserve">(O1-9) </t>
  </si>
  <si>
    <t>(О2-1)</t>
  </si>
  <si>
    <t>(О2-2)</t>
  </si>
  <si>
    <t>(О2-3)</t>
  </si>
  <si>
    <t>(О2-4)</t>
  </si>
  <si>
    <t>(О3-1)</t>
  </si>
  <si>
    <t xml:space="preserve">(О4-3)  </t>
  </si>
  <si>
    <t>Брой извършени проверки и одити в Системата, завършени с окончателен доклад, изготвен от одитен и/или контролен орган в рамките на правомощията им.</t>
  </si>
  <si>
    <t xml:space="preserve">1. Проверки и/или одити, извършени от Одитиращ орган, Счетоводен орган, АФКОС, АОП.
</t>
  </si>
  <si>
    <t>(О3-2) ОГО и СИП, ангажирани с популяризиране на  резултатите от СП</t>
  </si>
  <si>
    <t>(О4-3) Импресии в социалните мрежи и платформи</t>
  </si>
  <si>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t>
  </si>
  <si>
    <t>Подобрена електронна среда за подготовка, изпълнение, мониторинг, контрол, управление на програми от СП;
Подобрена електронна среда за събиране, обработка и анализ на данни за оценки, необходими за целите на оценките на  програми от СП;
Бързо адаптиране на ИСУН към нуждите на потребителите на системата;
Намалена административна тежест за УО-и, кандидати и бенефициенти.</t>
  </si>
  <si>
    <t xml:space="preserve">Подобрена електронна среда за кандидатстване и оценка на проектни предложения по програми от СП;
Бързо адаптиране на ИСУН към нуждите на потребителите на системата;
Намалена административна тежест за УО-и и кандидатите.
</t>
  </si>
  <si>
    <t>Поддържане на високи нива на компетентност,‭ ‬мотивация и ангажираност на служителите,‭ ‬които да гарантират ефективното изпълнение на задълженията по политиката на сближаване (‬включително методически функции по отношение на плавния преход между програмните периоди:‭ 2014-2020, 2021-2027 и финансовата перспектива след 2027 г.).</t>
  </si>
  <si>
    <t>Осигурен компетентен, силно мотивиран, ангажиран и опитен персонал и експертиза за Системата;
Ниско текучество на персонала.</t>
  </si>
  <si>
    <t xml:space="preserve">Индикаторът измерва степента на придобитите знания само от обученията по хоризонтали теми, отчетени в индикатор О2-1.
Под успешно преминаване на тест за усвоени знания се разбира постигане на поне 75% верни отговори на финалния тест.
</t>
  </si>
  <si>
    <t>1. обучения по хоризонтални теми, за които е отчетено разработване на обучителен модул в индикатор О2-1. 
- Разработване на тест за % на усвоените знания;
- Обобщаване на резултатите от проведените тестове;  
- Текущо изпращане на обратна връзка до институцията, разработила съответния обучителен модул.</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</si>
  <si>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Повишено качеството на обучението;
Повишена мотивацията на участниците в събитията.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</si>
  <si>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По-висока степен прозрачност и отчетност при изпълнението на СП.</t>
  </si>
  <si>
    <t xml:space="preserve">Брой импресии, отчетени от статистиката в съответните профили на управлявани от бенефициентите на ПТП (ЦКЗ, ОИЦ и др.) социални платформи.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</si>
  <si>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По-силно чувство за собственост върху резултатите от страна на гражданите;
По-висока степен прозрачност и отчетност при изпълнението на СП.</t>
  </si>
  <si>
    <t>Самооценката на анкетираните български граждани на възраст над 15 години се отчита чрез национално представително социологическо проучване, проведено през 2024 и 2029 г.
Изследването се провежда най-малко два пъти по време на програмния период, следвайки единна методология, която позволява сравнимост на данните.
Въз основа на исторически данни от програмния период 2014-2020 г. е направено предположение за поддържане на нивото на информираност, което е високо в сравнение с останалите държави-членки на ЕС.</t>
  </si>
  <si>
    <t xml:space="preserve">1. Организиране на информационни събития, подготовка и разпространение на информационни материали, поддържане на Единния информационен портал www.eufunds.bg и Информационната система за управление и наблюдение (ИСУН), профили в социалните мрежи и всички действия за повишаване на осведомеността за фондовете на РОР сред широката общественост.
</t>
  </si>
  <si>
    <t xml:space="preserve">1. Създаване, разработване, популяризиране и поддържане на профили в социалните мрежи, за да се гарантира наличността на информацията относно европейските фондове.
</t>
  </si>
  <si>
    <t>(О1-4) Проверки и одити, извършвани от одитиращи и/или контролни органи</t>
  </si>
  <si>
    <t>(О1-6) Единна информационна система за държавни помощи</t>
  </si>
  <si>
    <t>(О1-7) Нови функционалности на ИСУН</t>
  </si>
  <si>
    <t>(О1-8) Намалена административна тежест за кандидатите</t>
  </si>
  <si>
    <t>(О1-9) Намалена административна тежест за бенефициентите</t>
  </si>
  <si>
    <t xml:space="preserve">(О1-6) </t>
  </si>
  <si>
    <t xml:space="preserve">(O1-8) </t>
  </si>
  <si>
    <t xml:space="preserve">(О1-10) </t>
  </si>
  <si>
    <t xml:space="preserve">Създадена култура за оценки в Системата;
Оптимизиран процес по събиране, обобщаване и анализ на данни, необходими за оценки на политиките от СП;
Разпространени аналитични и оценителни доклади за Системата;
Оптимизирани административни процеси/ процедури в Системата в резултат на отправени препоръки от извършени оценки;
</t>
  </si>
  <si>
    <t xml:space="preserve">(О4-4) Ниво на информираност за програмите от СП
</t>
  </si>
  <si>
    <t>(О2-4) ОГО с повишен капацитет</t>
  </si>
  <si>
    <t>(О2-5) Общини с повишен капацитет</t>
  </si>
  <si>
    <t xml:space="preserve">Брой общини - бенефициенти по ПТП и/или целева група по проекти по ПТП, подкрепени за повишаване на общински капацитет за стратегическо планиране и активно участие в инициативи на ЕС.
</t>
  </si>
  <si>
    <t xml:space="preserve">Повишен капацитет на  общини за активното им ангажиране при изпълнението на СП;
Намален брой нередности;
Качествени и полезни за местните общности ИТИ; 
Повишен общински капацитет за стратегическо планиране и активно участие в инициативи на ЕС; 
Осигурена квалифицирана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</si>
  <si>
    <t>АКТУАЛИЗИРАНА Е СЪГЛАСНО ПОСЛЕДНОТО ПИСМО ОТ ЦКЗ!!!</t>
  </si>
  <si>
    <t>Подобрена електронна среда за мониторинг и верификация на проекти по програми от СП;
Бързо адаптиране на ИСУН към нуждите на потребителите на системата;
Намалена административна тежест за УО-и и бенефициентите.</t>
  </si>
  <si>
    <t>(О2-5)</t>
  </si>
  <si>
    <t>Общини с повишен капацитет</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</si>
  <si>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</si>
  <si>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 xml:space="preserve">1. Развитие на Академията за фондовете на ЕС, която да осигури възможност за повишаване на квалификацията и уменията на служителите в рамките на Системата, както и на ключовите групи бенефициенти по програмите (вкл. общини) по хоризонтални/междусекторни теми/области чрез:
- Разработване на обучителни модули, въз основа на оценка на базовите компетенции на целевите групи, и осигуряване на лектори от съответните администрации, отговорни за ключови хоризонтални области като режими на помощ, обществени поръчки, намаляване на броя и тежестта на нередностите, включително измами и корупция, одит, централна координация на средствата от фондовете, НРПД и др.  
- Провеждане на хоризонтални обучения и последваща оценка в специализирана електронна среда на нивото на компетенции.
- Регулярен анализ на резултатите от оценяването и актуализиране на обучителното съдържание и използвани методи, съобразно обратната връзка от участниците. 
2. Провеждане на специализирани обучения за външни оценители на проекти със специален фокус върху прилагането на правилата за фондовете на РОР и ефективно използване на ИСУН;
3. Участие в специализирани събития на национални и европейски центрове за обучение на служителите от хоризонталните звена на Системата;
4. Участие в работни групи, семинари, конференции за трансфер на добри практики, организирани от европейски и национални институции.
  </t>
  </si>
  <si>
    <t xml:space="preserve">Информираността на широката общественост за програмите от СП се измерва чрез самооценка на респондентите относно познаването на проекти/дейности/резултати, съ-финансирани по програмите от СП. </t>
  </si>
  <si>
    <t>(О3-3) Пактове за почтеност</t>
  </si>
  <si>
    <t>(О3-2)</t>
  </si>
  <si>
    <t>(О3-3)</t>
  </si>
  <si>
    <t xml:space="preserve">(О4-1) </t>
  </si>
  <si>
    <t xml:space="preserve">(О4-2)  </t>
  </si>
  <si>
    <t xml:space="preserve">(O4-4) </t>
  </si>
  <si>
    <t>Обществени консултации, медиации и презентации</t>
  </si>
  <si>
    <t>Пактове за почтеност</t>
  </si>
  <si>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кумулативно показателя към 30 юни и 31 декември на база генерирана информация от всички бенефициенти към съответния отчетен период. 
</t>
  </si>
  <si>
    <t xml:space="preserve">Отчита се броят на подкрепените общини, вкл.  чрез осигуряване на квалифицирана експертна подкрепа за общините.
Всеки бенефициент текущо предоставя на УО информация за броя на подкрепени  общини. 
УО изчислява кумулативно показателя към 30 юни и 31 декември.
</t>
  </si>
  <si>
    <t>Всеки бенефициент предоставя обобщена информация за броя на импресиите, постигнати в профилите в социалните медии, управлявани от него през отчетния период.
УО изчислява кумулативно показателя към 30 юни и 31 декември.</t>
  </si>
  <si>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t>
  </si>
  <si>
    <t>Служители на Системата, чиито възнаграждения се възстановяват (среднопретеглена стойност)</t>
  </si>
  <si>
    <t>1. Развитие на www.eufunds.bg чрез разработване и добавяне на:
- огледална версия за програмен период 2021+; 
- заявка за ел. бюлетин чрез бутон „RRS съобщения“; 
- адаптиране за хора със зрителни увреждания; 
- текуща актуализация за двата периода с фокус върху подхода ИТИ; 
- разпространение на информация и добри практики относно стратегиите за постигане на устойчивост към изменението на климата, особено на регионално равнище и др.</t>
  </si>
  <si>
    <t xml:space="preserve">Бенефициентът, отговорен за разработването и подкрепата на ИСУН, предоставя текущо информация за разработени и внедрени функционалности.
УО изчислява кумулативно показателя към 30 юни и 31 декември.
</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</si>
  <si>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</si>
  <si>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 xml:space="preserve">1. Идентифициране на стратегически проекти от програмите от СП (съвместно между УО на ПТП, ЦКЗ и УО на програмите от СП);
2. Избор на НПО (бенефициент) за изпълнение на пактовете;
3. Осъществяване на мониторинг от страна на НПО на всички етапи от изпълнението на стратегическите проекти (изпълнение на проектните дейности, избор на изпълнители, изпълнение на сключени договори с външни изпълнители, изпълнение на индикатори); 
4. Комуникиране на резултатите от всеки етап от пакта със заинтересованите страни. </t>
  </si>
  <si>
    <t xml:space="preserve">Брой извършени пактове за почтеност на стратегически проекти по програмите от СП. 
Под извършен пакт за почтеност се разбира цялостен мониторинг на изпълнението на стратегическия проект от сключването на договор за БФП със съответния УО до одобрение на окончателния технически доклад. В случай, че по съответния стратегически проект се планират повече от една обществена поръчка, то пактът за почтеност трябва да покрие поръчката с най-висока прогнозна стойност или най-голяма сложност или с най-висок обществен интерес, която спомага за постигане на основната цел на проекта. </t>
  </si>
  <si>
    <t xml:space="preserve">Вид интервенции и индикативно разпределение на ресурсите по ПТП по вид интервенция или област на подкрепа </t>
  </si>
  <si>
    <t xml:space="preserve">Брой изготвени/актуализирани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контрола на ЕСИФ/фондовете на РОР. </t>
  </si>
  <si>
    <t xml:space="preserve">Методически насоки и национални разпоредби за управление и контрол на средствата по ЕСИФ/фондовете на РОР; 
Оптимизирани административни процеси/ процедури във всички структури на Системата; 
Намален брой основни констатации от системни одити и грешки с финансово въздействие;
Намалена административна тежест за кандидати и бенефициенти;
Намален брой на грешките на кандидати и бенефициенти;
Повишено ниво на превенция и откриване на нередности, измами и корупция в проекти, финансирани от фондове на РОР;
Използване на добри практики, по-широко използване на опростени разходи, зелени и устойчиви обществени поръчки и др. </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</si>
  <si>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всички отчетни периоди в периода 2023-2029.
</t>
  </si>
  <si>
    <t xml:space="preserve">1. Подобряване на процесите по подготовка, изпълнение, мониторинг, контрол, управление на програми от СП; 
2. Интеграция с други системи и регистри, в това число хоризонталните системи на електронното управление и с НГП и др.
</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</si>
  <si>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програми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всички отчетни периоди в периода 2023-2029.
</t>
  </si>
  <si>
    <t>Всеки бенефициента предоставя текущо на УО информация за проведените събития през отчетния период заедно с доказателства относно тяхното провеждане. 
Отчитат се присъствени,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</si>
  <si>
    <t xml:space="preserve">Брой разработени/актуализирани аналитични доклади и стратегически документи.
Всеки доклад и документ трябва да бъде консултиран с и разпространен до всички заинтересовани страни (структури в Системата, партньорски организации и др.).
</t>
  </si>
  <si>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декларации на отчет, изчислено въз основа на данните в ИСУН за програмите, финансирани от ЕСФ, ЕФРР, КФ, ЕФМДР и ФЕПНЛ за периода 2014-2020.</t>
  </si>
  <si>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Докладите трябва да бъдат комуникирани със съответния УО и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</si>
  <si>
    <t xml:space="preserve">Всеки бенефициент текущо предоставя на УО информация за броя на контролите или одитите, завършени с окончателен доклад.
УО изчислява кумулативно показателя към 30 юни и 31 декември.
</t>
  </si>
  <si>
    <t xml:space="preserve">Повишен процент на отстранени грешки, в следствие на подобрен предварителен контрол;
Повишаване на качеството на проверките, извършвани от АОП; 
Подобрени процеси по управление и контрол на средствата от фондовете на РОР;
Намален брой на констатациите с финансов изражение;
Намален брой грешки, отчетени по програмите от СП.
</t>
  </si>
  <si>
    <t xml:space="preserve">1. Синхронизиране на извършваните от АОП контроли и процедури с тези извършвани от УО и ОО;
2. Подготовка на обучителен модул от ОО за обучение на служителите на АОП по сихронизираните правила;
3. Провеждане на обучение на всички служители на АОП, отговрни за извършването на предварителен контрол по процедури, финансирани от фондовете на РОР;
4. Надграждане на функционалността на ЦАИС ЕОП за филтриране на процедурите за ОП, финансирани от фондовете на РОР;
5. Въвеждане на отделна методологията на АОП само за процедури, финансирани от фондовете на РОР, чрез която се селектират процедури подлежащи на предварителен контрол.
</t>
  </si>
  <si>
    <t>Дял на процедурите, преминали предварителен контрол от АОП, по които има наложена финансова корекция за нарушения в подготвителната фаза</t>
  </si>
  <si>
    <t>(О1-5) Дял на процедурите, преминали предварителен контрол от АОП, по които няма наложена финансова корекция за нарушения в подготвителната фаза</t>
  </si>
  <si>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91,79 % и е определена въз основа на налични в ИСУН данни за периода от 01.04.2020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</si>
  <si>
    <t xml:space="preserve">Индикаторът се изчислява служебно от УО на ПТП два пъти годишно към 30 юни и 31 декември.
УО на ПТП изчислява текущата комулативна стойност на показателя на база наличната информация в ИСУН относно извършения последващ контрол и наложени финансови корекции от УО и ОО от началото на програмния период до текущия момент.
Текущата стойност на индикатора се изчислява по формулата: (брой на процедурите, преминали предварителен контрол от АОП без установени нарушения при последващ контрол от УО или ОО, свързани с подготовката на обществената поръчка за възлагане и обявяване)/(брой на процедурите, преминали предварителен контрол от АОП)*100%.
</t>
  </si>
  <si>
    <t>АФКОС</t>
  </si>
  <si>
    <t>АОП</t>
  </si>
  <si>
    <t>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</si>
  <si>
    <t>1. Набиране,‭ ‬обобщаване и/или анализ на информация от работата на Системата (ЦКЗ):
-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комуникационни мерки за повишаване на доверието в системата.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 (ЦКЗ);
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
4. Изготвяне на годишен анализ на основните констатации от одити на системата и годишен анализ на грешки с финансово въздействие от одита на операциите. (ОСЕС)
5. Изготвяне на годишен анализ на основните констатации от проверки за открити нередности, включително измами, и последващи действия (АФКОС);
6. Изготвяне на годишен анализ на основните грешки, свързани с правилата за държавни помощи (ДП);
7. Подготовка на стратегии и пътни карти за Системата.  (ЦКЗ).</t>
  </si>
  <si>
    <r>
      <t>Разработени и разпространени аналитични доклади и стратегически документи на Системата;
Оптимизирани административни процеси/ процедури в Системата; 
Повишено ниво на превенция и борба с нередностите и измамите;
Актуализирана национална пътна карта на административен капацитет.</t>
    </r>
    <r>
      <rPr>
        <b/>
        <sz val="9"/>
        <color theme="1"/>
        <rFont val="Times New Roman"/>
        <family val="1"/>
        <charset val="204"/>
      </rPr>
      <t xml:space="preserve">
</t>
    </r>
  </si>
  <si>
    <t xml:space="preserve">Брой хоризонтални и междусекторни оценки, извършени и проследени в съответствие с Плана за оценка на ПТП/СП. В следствие на всяка извършена оценка е утвърден план за действие, който трябва да бъде проследяван най-малко една година след издаване на окончателен доклад. 
Всеки доклад от оценка и документ за събрани данни на хоризонтално ниво е консултиран с и разпространен сред всички заинтересовани страни (структури в Системата, партньорски организации и др.).
</t>
  </si>
  <si>
    <t>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</si>
  <si>
    <t xml:space="preserve">1. Разработване на национален план за оценка, включващ всички планирани хоризонтални и програмни оценки;
2. Развитие на капацитета на ЦКЗ за извършване на хоризонтални оценки и създаване на бюро за помощ/ група от експерти към ЦКЗ за преглед на оценките на програмите с цел подобряване на тяхното качество;
3. Разработване на стандарти за оценка и насърчаване на прилагането им при оценка на програмите;
4. Засилване на дейността на междуведомствената работна група за оценка като допълващ инструмент за мониторинг, платформа за обмяна на опит и механизъм за подобряване на качеството на оценките.
5. Развитие на капацитета за извършване на оценки в рамките на Системата и извън нея, вкл. чрез подкрепата на Helpdesk за оценка на ЕК, насърчаване изграждането на общност на професионалистите в областта на оценката (evaluation society), сътрудничество с академичната и изследователската общности, организиране на конференции в областта на оценката и др.;
6. Насърчаване на активно сътрудничество в рамките на Мрежата за оценка към ГД „Регионална и селищна политика“ и Партньорството за оценка към ГД „Трудова заетост, социални въпроси и приобщаване“ на ЕК с цел трансфер на добри практики;
7. Набиране,‭ ‬обобщаване и/или анализ на данни на хоризонтално ниво за изпълнение на политиките, финансирани от фондовете на РОР;
8. Повишаване на обема на отворените данни за изпълнението на програмите по СП;  
9.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
10. Предоставяне на обобщени данни за целите на оценки на заинтересованите УО-и;
11.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12. Разработване на информационно и/или обучително съдържание на база изводите и препоръките от извършените оценки.
13. Изпълнение и проследяване на препоръки от  оценителните доклади за оптимизиране на административни процеси/процедури в Системата.
</t>
  </si>
  <si>
    <t>Всеки бенефициент текущо предоставя на УО информация за броя на разработените/ актуализирани методически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</si>
  <si>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Систематичен анализ и популяризиране на добрите практики, споделяни в транснационалните мрежи по опростени варианти на разходите по ЕФРР/КФ и ЕСФ   — заедно с подгрупата на тези мрежи, съсредоточени върху подходи, основани на резултатите; 
- Насърчаване на използването на възможностите по член 37 и член 95 от Регламент (ЕС) 2021/1060 (финансиране, което не е свързано с разходи) на база опита от изпълнението на Националния план за възстановяване и устойчивост като подход, основан на резултатите.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</si>
  <si>
    <t>Брой разработени и внедрени нови функционалности на ИСУН за подготовка, изпълнение, мониторинг, контрол, управление и оценка на средствата от фондовете на РОР.</t>
  </si>
  <si>
    <t>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системи и регистри, в това число хоризонталните системи на електронното управление и с НГП и др.
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</si>
  <si>
    <t xml:space="preserve">Индикаторът измерва процентното намаление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за периода 2014-2020. 
</t>
  </si>
  <si>
    <t>Брой служители на хоризонтално ниво в органи/звена от Системата на служебно или трудово правоотношение), вкл. служители на УО на ПТП, чиито възнаграждения се възстановяват по програмата при еквивалент на пълна заетост.</t>
  </si>
  <si>
    <r>
      <t xml:space="preserve">Показателят се отчита на шестмесечие, към 30 юни и 31 декември на съответната година.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Всеки бенефициент предоставя на УО на шестмесечна база анализ на заетостта си (разпределение на работното време между програмите от СП и други)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Всеки бенефициент предоставя информация на УО на шестмесечна база за средния брой на </t>
    </r>
    <r>
      <rPr>
        <sz val="9"/>
        <color theme="1"/>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z val="9"/>
        <color theme="1"/>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theme="1"/>
        <rFont val="Times New Roman"/>
        <family val="1"/>
        <charset val="204"/>
      </rPr>
      <t xml:space="preserve">
</t>
    </r>
    <r>
      <rPr>
        <sz val="9"/>
        <color theme="1"/>
        <rFont val="Times New Roman"/>
        <family val="1"/>
        <charset val="204"/>
      </rPr>
      <t>Междинната цел за 2024 г. и целевата стойност за 2029 г. се отнасят само до броя на служителите, чиито възнаграждения се възстановяват при еквивалент на пълна заетост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като се отчетат разликите в методологията на изчисление.</t>
    </r>
  </si>
  <si>
    <t xml:space="preserve">(О2-1) Хоризонтални модули за обучения </t>
  </si>
  <si>
    <t xml:space="preserve">Под "разработен модул за обучение" се разбира съдържание, разработено от бенефициент по ПТП, отговорен за съответната хоризонтална тема, което задължително съдържа: програма, теоретична част, практическа част, в т.ч. казуси, примери и др., тест за % на усвоените знания. 
Съдържанието следва да позволява обучението да се проведе както в присъствена, така и в дистанционна форма.
</t>
  </si>
  <si>
    <t>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</si>
  <si>
    <t>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лектори и др. на база извършени анализи и получени предложения и препоръки.
7. провеждане на проучване сред участниците 6 месеца след обучението дали използват придобитите знания и ако не, защо;</t>
  </si>
  <si>
    <r>
      <t xml:space="preserve">Брой служители на Системата, на ключови бенефициенти по програмите от СП, на организациите, на партньорски организации и обучени външни оценители, преминали през курс на обучение, по проект по ПТП.  
</t>
    </r>
    <r>
      <rPr>
        <i/>
        <sz val="9"/>
        <color theme="1"/>
        <rFont val="Times New Roman"/>
        <family val="1"/>
        <charset val="204"/>
      </rPr>
      <t xml:space="preserve">
</t>
    </r>
  </si>
  <si>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служители на организации, изпълняващи финансови инструменти;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кумулативно показателя към 30 юни и 31 декември.
</t>
  </si>
  <si>
    <t xml:space="preserve">Изпълнението на индикатора ще стартира с приоритетна централизирана подкрепа за общините от най-слабо развитите райони в България. 
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(приоритетно за общините от най-слабо развитите райони на България)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</si>
  <si>
    <t>(О4-1‭) Обществени консултации, медиации и презентации</t>
  </si>
  <si>
    <r>
      <t xml:space="preserve">Отчитат се традиционни и иновативни форми на обществени консултации, медиации и информационни събития, проведени: 
</t>
    </r>
    <r>
      <rPr>
        <b/>
        <sz val="9"/>
        <color theme="1"/>
        <rFont val="Times New Roman"/>
        <family val="1"/>
        <charset val="204"/>
      </rPr>
      <t xml:space="preserve">1. </t>
    </r>
    <r>
      <rPr>
        <sz val="9"/>
        <color theme="1"/>
        <rFont val="Times New Roman"/>
        <family val="1"/>
        <charset val="204"/>
      </rPr>
      <t xml:space="preserve"> </t>
    </r>
    <r>
      <rPr>
        <b/>
        <sz val="9"/>
        <color theme="1"/>
        <rFont val="Times New Roman"/>
        <family val="1"/>
        <charset val="204"/>
      </rPr>
      <t>от ОИЦ</t>
    </r>
    <r>
      <rPr>
        <sz val="9"/>
        <color theme="1"/>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color theme="1"/>
        <rFont val="Times New Roman"/>
        <family val="1"/>
        <charset val="204"/>
      </rPr>
      <t>2.</t>
    </r>
    <r>
      <rPr>
        <sz val="9"/>
        <color theme="1"/>
        <rFont val="Times New Roman"/>
        <family val="1"/>
        <charset val="204"/>
      </rPr>
      <t xml:space="preserve"> З</t>
    </r>
    <r>
      <rPr>
        <b/>
        <sz val="9"/>
        <color theme="1"/>
        <rFont val="Times New Roman"/>
        <family val="1"/>
        <charset val="204"/>
      </rPr>
      <t xml:space="preserve">а общини </t>
    </r>
    <r>
      <rPr>
        <sz val="9"/>
        <color theme="1"/>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color theme="1"/>
        <rFont val="Times New Roman"/>
        <family val="1"/>
        <charset val="204"/>
      </rPr>
      <t xml:space="preserve">3. </t>
    </r>
    <r>
      <rPr>
        <sz val="9"/>
        <color theme="1"/>
        <rFont val="Times New Roman"/>
        <family val="1"/>
        <charset val="204"/>
      </rPr>
      <t>За популяризиране на резултати и препоръки от извършени хоризонтални и междусекторни оценки сред структурите на Системата, както и сред всички заинтересовани страни.</t>
    </r>
  </si>
  <si>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t>
    </r>
    <r>
      <rPr>
        <sz val="9"/>
        <rFont val="Times New Roman"/>
        <family val="1"/>
        <charset val="204"/>
      </rPr>
      <t>По-висока степен прозрачност и отчетност при изпълнението на СП.</t>
    </r>
  </si>
  <si>
    <t xml:space="preserve">(О2-3) Дял на обучените лица/служители, преминали успешно тест за усвоени знания </t>
  </si>
  <si>
    <t>(О2-2) Брой обучени лица/служители</t>
  </si>
  <si>
    <t>Брой обучени лица/служители</t>
  </si>
  <si>
    <t xml:space="preserve">Дял на обучените лица/служители, преминали успешно тест за усвоени знания </t>
  </si>
  <si>
    <t>(О1-10) Служители на Системата, чиито възнаграждения се възстановяват по Програмата (средно претеглена стойност)</t>
  </si>
  <si>
    <r>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t>
    </r>
    <r>
      <rPr>
        <strike/>
        <sz val="9"/>
        <color theme="1"/>
        <rFont val="Times New Roman"/>
        <family val="1"/>
        <charset val="204"/>
      </rPr>
      <t>Провеждане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t>
    </r>
    <r>
      <rPr>
        <sz val="9"/>
        <color theme="1"/>
        <rFont val="Times New Roman"/>
        <family val="1"/>
        <charset val="204"/>
      </rPr>
      <t xml:space="preserve">
3. Организиране на събития за популяризиране на резултати и препоръки от оценки;
4. Осигуряване на прозрачност за предприетите действия във връзка със сигнали/нередности и измами със средства от фондовете на ЕС. </t>
    </r>
  </si>
  <si>
    <t>2. Укрепване на капацитета на органите, бенефициентите и партньорите по програмите от СП</t>
  </si>
  <si>
    <t>3. Ангажиране на СИП и ОГО за добро управление на средствата от фондовете на ЕС</t>
  </si>
  <si>
    <t>4. Повишаване на прозрачността и комуникиране на постигнатите резултати</t>
  </si>
  <si>
    <t>(О3-1) ОГО и СИП, ангажирани с мониторинг и оценка на СП</t>
  </si>
  <si>
    <t xml:space="preserve">НРПД </t>
  </si>
  <si>
    <t>Проверки и одити, извършвани от одитиращи и/или контролни органи</t>
  </si>
  <si>
    <t>Нови функционалности на ИСУН</t>
  </si>
  <si>
    <t>Намалена административна тежест за кандидатите</t>
  </si>
  <si>
    <t>ОГО с повишен капацитет</t>
  </si>
  <si>
    <t>Уникални посещения на eufunds.bg годишно</t>
  </si>
  <si>
    <t>Импресии в социалните мрежи и платформи</t>
  </si>
  <si>
    <t>Идентификационен номер</t>
  </si>
  <si>
    <t>Общо</t>
  </si>
  <si>
    <t>Номер на цел на политиката или техническа помощ</t>
  </si>
  <si>
    <t>Основа за изчисляване на подкрепата от Съюза
(общо допустими разходи или публичен принос)</t>
  </si>
  <si>
    <t>Категория регион</t>
  </si>
  <si>
    <t>Финансово участие на Съюза 
а) = ж) + з)</t>
  </si>
  <si>
    <t>Разбивка на финансовото участие на Съюза</t>
  </si>
  <si>
    <t>Индикативна разбивка на националния принос</t>
  </si>
  <si>
    <t>Финансово участие на Съюза без сумата за гъвкавост</t>
  </si>
  <si>
    <t>Сума за гъвкавост</t>
  </si>
  <si>
    <t>Публичен‭</t>
  </si>
  <si>
    <t>Частен‭</t>
  </si>
  <si>
    <t xml:space="preserve"> ж)</t>
  </si>
  <si>
    <t xml:space="preserve"> з)</t>
  </si>
  <si>
    <t>(д)=(‬a‭)‬+‭(‬б)</t>
  </si>
  <si>
    <t>(е‭)=(‬a‭)‬/‭(д)</t>
  </si>
  <si>
    <t>TA36(4)</t>
  </si>
  <si>
    <t>Публичен принос</t>
  </si>
  <si>
    <t>ПРИЛОЖЕНИЕ II: Общо бюджетни кредити по фондове и национално съфинансиране (в евро)</t>
  </si>
  <si>
    <t>Финансов бюджетен кредит без сума за гъвкавост‭ ‬</t>
  </si>
  <si>
    <t>Таблица 10: Финансови бюджетни кредити по години</t>
  </si>
  <si>
    <t>ЕФРР</t>
  </si>
  <si>
    <t>ОБЩО</t>
  </si>
  <si>
    <t>% от ПТП</t>
  </si>
  <si>
    <t>Сума за гъвкавост (общо):</t>
  </si>
  <si>
    <t>Фонд</t>
  </si>
  <si>
    <t>Категория региони</t>
  </si>
  <si>
    <t xml:space="preserve">Преход </t>
  </si>
  <si>
    <t>в Евро, ЕС част</t>
  </si>
  <si>
    <t xml:space="preserve">Ниво на информираност за програмите от СП
</t>
  </si>
  <si>
    <t>Хоризонтални модули за обучения</t>
  </si>
  <si>
    <t xml:space="preserve">(О4-5)  </t>
  </si>
  <si>
    <t>Сесии на eufunds.bg</t>
  </si>
  <si>
    <t xml:space="preserve">(О4-6)  </t>
  </si>
  <si>
    <t>Гледания (views) и в социалните мрежи и платформи</t>
  </si>
  <si>
    <t xml:space="preserve">1. Създаване, разработване, популяризиране и поддържане на профили в социалните мрежи, за да се гарантира наличността на информацията относно европейските фондове.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</si>
  <si>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По-висока степен прозрачност и отчетност при изпълнението на СП.</t>
  </si>
  <si>
    <t>Брой гледания, отчетени от статистиката в съответните профили на управлявани от бенефициентите на ПТП (ЦКЗ, ОИЦ, УО на ПТП и др.) социални платформи. 
„Views“ (гледания) показва колко пъти потребителите са гледали активно или са се ангажирали със съдържанието – включително брой гледания на reels, видео, или брой преглеждания на изображения или текстови постове, които са били на екран за определен период от време</t>
  </si>
  <si>
    <t>Бенефициентът, поддържащ информационния портал, предоставя на УО на шестмесечна база, към 30 юни и 31 декември, информация за броя сесии на eufunds.bg 
Целевата стойност се отнася за броя сесии на eufunds.bg за периода 2024- 2029 г., който ще се отчете към 31 декември 2029.
УО изчислява кумулативно показателя към 30 юни и 31 декември.</t>
  </si>
  <si>
    <t xml:space="preserve">(О4-5) Сесии на eufunds.bg (НОВ)
</t>
  </si>
  <si>
    <t xml:space="preserve">(О4-6) Гледания (views) социалните мрежи и платформи (НОВ)
</t>
  </si>
  <si>
    <t xml:space="preserve">По-слабо развити </t>
  </si>
  <si>
    <r>
      <t xml:space="preserve">Сесии на </t>
    </r>
    <r>
      <rPr>
        <b/>
        <sz val="9"/>
        <rFont val="Times New Roman"/>
        <family val="1"/>
        <charset val="204"/>
      </rPr>
      <t>eufunds.bg</t>
    </r>
    <r>
      <rPr>
        <sz val="9"/>
        <rFont val="Times New Roman"/>
        <family val="1"/>
        <charset val="204"/>
      </rPr>
      <t xml:space="preserve"> представлява група от взаимодействия на потребителя със сайта или приложението в рамките на определен времеви период, съгласно методиката за измерване на метриката в GA4. Тя започва, когато се задейства събитието session_start, не се прекъсва, ако източникът на трафик се промени и завършва след 30 минути неактивност по подразбиране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</si>
</sst>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 _л_в_._-;\-* #,##0.00\ _л_в_._-;_-* &quot;-&quot;??\ _л_в_._-;_-@_-"/>
    <numFmt numFmtId="165" formatCode="_(* #,##0.00_);_(* \(#,##0.00\);_(* &quot;-&quot;??_);_(@_)"/>
    <numFmt numFmtId="166" formatCode="_([$€-2]\ * #,##0.00_);_([$€-2]\ * \(#,##0.00\);_([$€-2]\ * &quot;-&quot;??_);_(@_)"/>
    <numFmt numFmtId="167" formatCode="0.000%"/>
    <numFmt numFmtId="168" formatCode="_-* #,##0\ _л_в_._-;\-* #,##0\ _л_в_._-;_-* &quot;-&quot;??\ _л_в_._-;_-@_-"/>
    <numFmt numFmtId="169" formatCode="#,##0.0"/>
    <numFmt numFmtId="170" formatCode="0.000000%"/>
    <numFmt numFmtId="171" formatCode="#,##0.00000"/>
    <numFmt numFmtId="172" formatCode="#,##0.000000"/>
    <numFmt numFmtId="173" formatCode="0.00000000%"/>
    <numFmt numFmtId="174" formatCode="0.0000000000%"/>
    <numFmt numFmtId="175" formatCode="0.0%"/>
    <numFmt numFmtId="176" formatCode="0.0"/>
    <numFmt numFmtId="177" formatCode="#,##0.00000000"/>
  </numFmts>
  <fonts count="65" x14ac:knownFonts="1">
    <font>
      <sz val="11"/>
      <color theme="1"/>
      <name val="Calibri"/>
      <family val="2"/>
      <charset val="204"/>
      <scheme val="minor"/>
    </font>
    <font>
      <sz val="9"/>
      <color theme="1"/>
      <name val="Times New Roman"/>
      <family val="1"/>
      <charset val="204"/>
    </font>
    <font>
      <sz val="11"/>
      <color theme="1"/>
      <name val="Times New Roman"/>
      <family val="1"/>
      <charset val="204"/>
    </font>
    <font>
      <b/>
      <sz val="9"/>
      <color theme="1"/>
      <name val="Times New Roman"/>
      <family val="1"/>
      <charset val="204"/>
    </font>
    <font>
      <b/>
      <sz val="9"/>
      <color rgb="FF000000"/>
      <name val="Times New Roman"/>
      <family val="1"/>
      <charset val="204"/>
    </font>
    <font>
      <sz val="11"/>
      <color theme="1"/>
      <name val="Calibri"/>
      <family val="2"/>
      <charset val="204"/>
      <scheme val="minor"/>
    </font>
    <font>
      <b/>
      <sz val="11"/>
      <color theme="1"/>
      <name val="Calibri"/>
      <family val="2"/>
      <charset val="204"/>
      <scheme val="minor"/>
    </font>
    <font>
      <b/>
      <sz val="12"/>
      <color theme="1"/>
      <name val="Candara"/>
      <family val="2"/>
      <charset val="204"/>
    </font>
    <font>
      <sz val="12"/>
      <color theme="1"/>
      <name val="Candara"/>
      <family val="2"/>
      <charset val="204"/>
    </font>
    <font>
      <sz val="11"/>
      <color theme="1"/>
      <name val="Calibri"/>
      <family val="2"/>
      <scheme val="minor"/>
    </font>
    <font>
      <b/>
      <sz val="10"/>
      <color rgb="FF000000"/>
      <name val="Tahoma"/>
      <family val="2"/>
      <charset val="204"/>
    </font>
    <font>
      <sz val="10"/>
      <color theme="1"/>
      <name val="Candara"/>
      <family val="2"/>
      <charset val="204"/>
    </font>
    <font>
      <sz val="11"/>
      <color rgb="FF002060"/>
      <name val="Times New Roman"/>
      <family val="1"/>
      <charset val="204"/>
    </font>
    <font>
      <sz val="11"/>
      <color rgb="FF002060"/>
      <name val="Calibri"/>
      <family val="2"/>
      <charset val="204"/>
      <scheme val="minor"/>
    </font>
    <font>
      <b/>
      <sz val="11"/>
      <color theme="9"/>
      <name val="Times New Roman"/>
      <family val="1"/>
      <charset val="204"/>
    </font>
    <font>
      <b/>
      <sz val="11"/>
      <color theme="9"/>
      <name val="Calibri"/>
      <family val="2"/>
      <charset val="204"/>
      <scheme val="minor"/>
    </font>
    <font>
      <b/>
      <sz val="13"/>
      <color rgb="FF000000"/>
      <name val="Times New Roman"/>
      <family val="1"/>
      <charset val="204"/>
    </font>
    <font>
      <b/>
      <sz val="12"/>
      <color rgb="FF000000"/>
      <name val="Times New Roman"/>
      <family val="1"/>
      <charset val="204"/>
    </font>
    <font>
      <sz val="9"/>
      <name val="Times New Roman"/>
      <family val="1"/>
      <charset val="204"/>
    </font>
    <font>
      <sz val="11"/>
      <name val="Times New Roman"/>
      <family val="1"/>
      <charset val="204"/>
    </font>
    <font>
      <b/>
      <sz val="11"/>
      <color theme="1"/>
      <name val="Times New Roman"/>
      <family val="1"/>
      <charset val="204"/>
    </font>
    <font>
      <sz val="9"/>
      <color theme="1"/>
      <name val="Calibri"/>
      <family val="2"/>
      <scheme val="minor"/>
    </font>
    <font>
      <sz val="11"/>
      <name val="Calibri"/>
      <family val="2"/>
      <scheme val="minor"/>
    </font>
    <font>
      <i/>
      <sz val="9"/>
      <color theme="1"/>
      <name val="Times New Roman"/>
      <family val="1"/>
      <charset val="204"/>
    </font>
    <font>
      <sz val="9"/>
      <color rgb="FFFF0000"/>
      <name val="Times New Roman"/>
      <family val="1"/>
      <charset val="204"/>
    </font>
    <font>
      <i/>
      <sz val="9"/>
      <name val="Times New Roman"/>
      <family val="1"/>
      <charset val="204"/>
    </font>
    <font>
      <b/>
      <sz val="10"/>
      <color rgb="FFFF0000"/>
      <name val="Times New Roman"/>
      <family val="1"/>
      <charset val="204"/>
    </font>
    <font>
      <sz val="12"/>
      <color theme="1"/>
      <name val="Times New Roman"/>
      <family val="1"/>
      <charset val="204"/>
    </font>
    <font>
      <b/>
      <sz val="11"/>
      <color rgb="FF000000"/>
      <name val="Times New Roman"/>
      <family val="1"/>
      <charset val="204"/>
    </font>
    <font>
      <sz val="11"/>
      <color rgb="FF000000"/>
      <name val="Times New Roman"/>
      <family val="1"/>
      <charset val="204"/>
    </font>
    <font>
      <b/>
      <sz val="11"/>
      <color theme="9" tint="-0.249977111117893"/>
      <name val="Times New Roman"/>
      <family val="1"/>
      <charset val="204"/>
    </font>
    <font>
      <sz val="11"/>
      <color theme="9" tint="-0.249977111117893"/>
      <name val="Times New Roman"/>
      <family val="1"/>
      <charset val="204"/>
    </font>
    <font>
      <b/>
      <sz val="8"/>
      <color theme="1"/>
      <name val="Times New Roman"/>
      <family val="1"/>
      <charset val="204"/>
    </font>
    <font>
      <sz val="11.5"/>
      <color theme="1"/>
      <name val="Times New Roman"/>
      <family val="1"/>
      <charset val="204"/>
    </font>
    <font>
      <sz val="10"/>
      <color rgb="FF000000"/>
      <name val="Times New Roman"/>
      <family val="1"/>
      <charset val="204"/>
    </font>
    <font>
      <b/>
      <sz val="10"/>
      <color rgb="FF000000"/>
      <name val="Times New Roman"/>
      <family val="1"/>
      <charset val="204"/>
    </font>
    <font>
      <i/>
      <sz val="8"/>
      <color rgb="FF000000"/>
      <name val="Times New Roman"/>
      <family val="1"/>
      <charset val="204"/>
    </font>
    <font>
      <i/>
      <sz val="11"/>
      <color rgb="FF000000"/>
      <name val="Times New Roman"/>
      <family val="1"/>
      <charset val="204"/>
    </font>
    <font>
      <b/>
      <sz val="8"/>
      <name val="Times New Roman"/>
      <family val="1"/>
      <charset val="204"/>
    </font>
    <font>
      <b/>
      <sz val="11"/>
      <name val="Times New Roman"/>
      <family val="1"/>
      <charset val="204"/>
    </font>
    <font>
      <b/>
      <sz val="12"/>
      <name val="Times New Roman"/>
      <family val="1"/>
      <charset val="204"/>
    </font>
    <font>
      <sz val="11"/>
      <color theme="0"/>
      <name val="Calibri"/>
      <family val="2"/>
      <charset val="204"/>
      <scheme val="minor"/>
    </font>
    <font>
      <sz val="11"/>
      <color theme="0"/>
      <name val="Times New Roman"/>
      <family val="1"/>
      <charset val="204"/>
    </font>
    <font>
      <b/>
      <sz val="11"/>
      <color theme="0"/>
      <name val="Times New Roman"/>
      <family val="1"/>
      <charset val="204"/>
    </font>
    <font>
      <b/>
      <sz val="8"/>
      <color theme="0"/>
      <name val="Times New Roman"/>
      <family val="1"/>
      <charset val="204"/>
    </font>
    <font>
      <b/>
      <sz val="9"/>
      <color theme="0"/>
      <name val="Times New Roman"/>
      <family val="1"/>
      <charset val="204"/>
    </font>
    <font>
      <sz val="9"/>
      <color theme="0"/>
      <name val="Times New Roman"/>
      <family val="1"/>
      <charset val="204"/>
    </font>
    <font>
      <sz val="12"/>
      <color rgb="FF7030A0"/>
      <name val="Times New Roman"/>
      <family val="1"/>
      <charset val="204"/>
    </font>
    <font>
      <b/>
      <sz val="12"/>
      <color rgb="FF7030A0"/>
      <name val="Times New Roman"/>
      <family val="1"/>
      <charset val="204"/>
    </font>
    <font>
      <b/>
      <sz val="9"/>
      <name val="Times New Roman"/>
      <family val="1"/>
      <charset val="204"/>
    </font>
    <font>
      <b/>
      <sz val="9"/>
      <name val="Times New Roman"/>
      <family val="1"/>
      <charset val="204"/>
    </font>
    <font>
      <b/>
      <i/>
      <sz val="8"/>
      <name val="Times New Roman"/>
      <family val="1"/>
      <charset val="204"/>
    </font>
    <font>
      <strike/>
      <sz val="9"/>
      <color rgb="FFFF0000"/>
      <name val="Times New Roman"/>
      <family val="1"/>
      <charset val="204"/>
    </font>
    <font>
      <b/>
      <sz val="14"/>
      <color rgb="FF002060"/>
      <name val="Times New Roman"/>
      <family val="1"/>
      <charset val="204"/>
    </font>
    <font>
      <sz val="11"/>
      <color rgb="FFFF0000"/>
      <name val="Calibri"/>
      <family val="2"/>
      <charset val="204"/>
      <scheme val="minor"/>
    </font>
    <font>
      <sz val="11"/>
      <color rgb="FFFF0000"/>
      <name val="Times New Roman"/>
      <family val="1"/>
      <charset val="204"/>
    </font>
    <font>
      <sz val="11"/>
      <color rgb="FFFF0000"/>
      <name val="Calibri"/>
      <family val="2"/>
      <scheme val="minor"/>
    </font>
    <font>
      <strike/>
      <sz val="9"/>
      <color theme="1"/>
      <name val="Times New Roman"/>
      <family val="1"/>
      <charset val="204"/>
    </font>
    <font>
      <b/>
      <sz val="8"/>
      <color rgb="FF000000"/>
      <name val="Times New Roman"/>
      <family val="1"/>
      <charset val="204"/>
    </font>
    <font>
      <sz val="8"/>
      <color rgb="FF000000"/>
      <name val="Times New Roman"/>
      <family val="1"/>
      <charset val="204"/>
    </font>
    <font>
      <sz val="8"/>
      <color theme="1"/>
      <name val="Times New Roman"/>
      <family val="1"/>
      <charset val="204"/>
    </font>
    <font>
      <i/>
      <strike/>
      <sz val="9"/>
      <color rgb="FFFF0000"/>
      <name val="Times New Roman"/>
      <family val="1"/>
      <charset val="204"/>
    </font>
    <font>
      <sz val="11.5"/>
      <color rgb="FFFF0000"/>
      <name val="Times New Roman"/>
      <family val="1"/>
      <charset val="204"/>
    </font>
    <font>
      <b/>
      <sz val="9"/>
      <color rgb="FFFF0000"/>
      <name val="Times New Roman"/>
      <family val="1"/>
      <charset val="204"/>
    </font>
    <font>
      <b/>
      <sz val="11"/>
      <color rgb="FFFF0000"/>
      <name val="Times New Roman"/>
      <family val="1"/>
      <charset val="204"/>
    </font>
  </fonts>
  <fills count="23">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0F0F0"/>
        <bgColor indexed="64"/>
      </patternFill>
    </fill>
    <fill>
      <patternFill patternType="solid">
        <fgColor rgb="FFEEF9FE"/>
      </patternFill>
    </fill>
    <fill>
      <patternFill patternType="solid">
        <fgColor rgb="FFFBFBFB"/>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CCECFF"/>
        <bgColor indexed="64"/>
      </patternFill>
    </fill>
    <fill>
      <patternFill patternType="solid">
        <fgColor theme="9" tint="0.39997558519241921"/>
        <bgColor indexed="64"/>
      </patternFill>
    </fill>
    <fill>
      <patternFill patternType="solid">
        <fgColor theme="5"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BBBBBB"/>
      </left>
      <right style="medium">
        <color rgb="FFBBBBBB"/>
      </right>
      <top style="medium">
        <color rgb="FFBBBBBB"/>
      </top>
      <bottom style="medium">
        <color rgb="FFBBBBBB"/>
      </bottom>
      <diagonal/>
    </border>
    <border>
      <left style="thin">
        <color indexed="9"/>
      </left>
      <right style="thin">
        <color indexed="9"/>
      </right>
      <top style="thin">
        <color indexed="9"/>
      </top>
      <bottom style="thin">
        <color indexed="9"/>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indexed="64"/>
      </top>
      <bottom style="thin">
        <color indexed="64"/>
      </bottom>
      <diagonal/>
    </border>
  </borders>
  <cellStyleXfs count="12">
    <xf numFmtId="0" fontId="0" fillId="0" borderId="0"/>
    <xf numFmtId="164" fontId="5" fillId="0" borderId="0" applyFont="0" applyFill="0" applyBorder="0" applyAlignment="0" applyProtection="0"/>
    <xf numFmtId="0" fontId="5" fillId="0" borderId="0"/>
    <xf numFmtId="9" fontId="9"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0" fontId="9"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0" fontId="5" fillId="0" borderId="0"/>
  </cellStyleXfs>
  <cellXfs count="503">
    <xf numFmtId="0" fontId="0" fillId="0" borderId="0" xfId="0"/>
    <xf numFmtId="0" fontId="3" fillId="2" borderId="1" xfId="0" applyFont="1" applyFill="1" applyBorder="1" applyAlignment="1">
      <alignment horizontal="center" vertical="top" wrapText="1"/>
    </xf>
    <xf numFmtId="0" fontId="1" fillId="0" borderId="0" xfId="0" applyFont="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vertical="top"/>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3" fillId="2" borderId="2" xfId="0" applyFont="1" applyFill="1" applyBorder="1" applyAlignment="1">
      <alignment horizontal="center" vertical="top" wrapText="1"/>
    </xf>
    <xf numFmtId="0" fontId="1" fillId="0" borderId="5" xfId="0" applyFont="1" applyBorder="1" applyAlignment="1">
      <alignment horizontal="left" vertical="top" wrapText="1"/>
    </xf>
    <xf numFmtId="0" fontId="1" fillId="0" borderId="6" xfId="0" applyFont="1" applyBorder="1" applyAlignment="1">
      <alignment vertical="top" wrapText="1"/>
    </xf>
    <xf numFmtId="0" fontId="1" fillId="0" borderId="7" xfId="0" applyFont="1" applyBorder="1" applyAlignment="1">
      <alignment horizontal="left" vertical="top" wrapText="1"/>
    </xf>
    <xf numFmtId="0" fontId="1" fillId="0" borderId="8" xfId="0" applyFont="1" applyBorder="1" applyAlignment="1">
      <alignmen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Border="1" applyAlignment="1">
      <alignment horizontal="left" vertical="top" wrapText="1"/>
    </xf>
    <xf numFmtId="0" fontId="3" fillId="0" borderId="4" xfId="0" applyFont="1" applyBorder="1" applyAlignment="1">
      <alignment horizontal="left" vertical="top" wrapText="1"/>
    </xf>
    <xf numFmtId="0" fontId="1" fillId="0" borderId="9" xfId="0" applyFont="1" applyBorder="1" applyAlignment="1">
      <alignment horizontal="left" vertical="top" wrapText="1"/>
    </xf>
    <xf numFmtId="0" fontId="3" fillId="0" borderId="7" xfId="0" applyFont="1" applyBorder="1" applyAlignment="1">
      <alignment horizontal="left" vertical="top" wrapText="1"/>
    </xf>
    <xf numFmtId="0" fontId="1" fillId="0" borderId="12" xfId="0" applyFont="1" applyBorder="1" applyAlignment="1">
      <alignment horizontal="left" vertical="top" wrapText="1"/>
    </xf>
    <xf numFmtId="3" fontId="3" fillId="2" borderId="2" xfId="0" applyNumberFormat="1" applyFont="1" applyFill="1" applyBorder="1" applyAlignment="1">
      <alignment horizontal="right" vertical="top" wrapText="1"/>
    </xf>
    <xf numFmtId="3" fontId="3" fillId="2" borderId="1" xfId="0" applyNumberFormat="1" applyFont="1" applyFill="1" applyBorder="1" applyAlignment="1">
      <alignment horizontal="right" vertical="top" wrapText="1"/>
    </xf>
    <xf numFmtId="3" fontId="3" fillId="0" borderId="3" xfId="0" applyNumberFormat="1" applyFont="1" applyBorder="1" applyAlignment="1">
      <alignment vertical="top" wrapText="1"/>
    </xf>
    <xf numFmtId="0" fontId="3" fillId="0" borderId="3" xfId="0" applyFont="1" applyBorder="1" applyAlignment="1">
      <alignment horizontal="left" vertical="top" wrapText="1"/>
    </xf>
    <xf numFmtId="3" fontId="3" fillId="0" borderId="2" xfId="0" applyNumberFormat="1" applyFont="1" applyBorder="1" applyAlignment="1">
      <alignment horizontal="right" vertical="top" wrapText="1"/>
    </xf>
    <xf numFmtId="3" fontId="3" fillId="0" borderId="4"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3" fontId="3" fillId="0" borderId="9" xfId="0" applyNumberFormat="1" applyFont="1" applyBorder="1" applyAlignment="1">
      <alignment horizontal="righ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3" fontId="3" fillId="0" borderId="0" xfId="0" applyNumberFormat="1" applyFont="1" applyAlignment="1">
      <alignment horizontal="righ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horizontal="left" vertical="top" wrapText="1"/>
    </xf>
    <xf numFmtId="0" fontId="3" fillId="0" borderId="2" xfId="0" applyFont="1" applyBorder="1" applyAlignment="1">
      <alignment horizontal="right" vertical="top" wrapText="1"/>
    </xf>
    <xf numFmtId="3" fontId="1" fillId="0" borderId="4" xfId="0" applyNumberFormat="1" applyFont="1" applyBorder="1" applyAlignment="1">
      <alignment horizontal="left" vertical="top" wrapText="1"/>
    </xf>
    <xf numFmtId="0" fontId="8" fillId="0" borderId="0" xfId="2" applyFont="1"/>
    <xf numFmtId="0" fontId="7" fillId="5" borderId="16"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0" borderId="0" xfId="2" applyFont="1" applyAlignment="1">
      <alignment wrapText="1"/>
    </xf>
    <xf numFmtId="0" fontId="7" fillId="6" borderId="3" xfId="2" applyFont="1" applyFill="1" applyBorder="1" applyAlignment="1">
      <alignment horizontal="center" wrapText="1"/>
    </xf>
    <xf numFmtId="0" fontId="7" fillId="6" borderId="6" xfId="2" applyFont="1" applyFill="1" applyBorder="1" applyAlignment="1">
      <alignment horizontal="center" vertical="center" wrapText="1"/>
    </xf>
    <xf numFmtId="3" fontId="7" fillId="7" borderId="1" xfId="2" applyNumberFormat="1" applyFont="1" applyFill="1" applyBorder="1" applyAlignment="1">
      <alignment horizontal="center"/>
    </xf>
    <xf numFmtId="3" fontId="7" fillId="7" borderId="1" xfId="2" applyNumberFormat="1" applyFont="1" applyFill="1" applyBorder="1"/>
    <xf numFmtId="0" fontId="8" fillId="4" borderId="11" xfId="2" applyFont="1" applyFill="1" applyBorder="1" applyAlignment="1">
      <alignment vertical="center"/>
    </xf>
    <xf numFmtId="3" fontId="8" fillId="4" borderId="1" xfId="2" applyNumberFormat="1" applyFont="1" applyFill="1" applyBorder="1" applyAlignment="1">
      <alignment horizontal="right" vertical="center" wrapText="1"/>
    </xf>
    <xf numFmtId="0" fontId="8" fillId="4" borderId="1" xfId="2" applyFont="1" applyFill="1" applyBorder="1" applyAlignment="1">
      <alignment horizontal="left" vertical="center" wrapText="1"/>
    </xf>
    <xf numFmtId="9" fontId="8" fillId="0" borderId="0" xfId="3" applyFont="1"/>
    <xf numFmtId="0" fontId="7" fillId="8" borderId="0" xfId="2" applyFont="1" applyFill="1" applyBorder="1" applyAlignment="1">
      <alignment vertical="center" wrapText="1"/>
    </xf>
    <xf numFmtId="0" fontId="8" fillId="0" borderId="0" xfId="2" applyFont="1" applyBorder="1"/>
    <xf numFmtId="0" fontId="8" fillId="4" borderId="11" xfId="2" applyFont="1" applyFill="1" applyBorder="1" applyAlignment="1">
      <alignment vertical="center" wrapText="1"/>
    </xf>
    <xf numFmtId="0" fontId="8" fillId="4" borderId="1" xfId="2" applyFont="1" applyFill="1" applyBorder="1"/>
    <xf numFmtId="0" fontId="8" fillId="4" borderId="0" xfId="2" applyFont="1" applyFill="1"/>
    <xf numFmtId="3" fontId="8" fillId="4" borderId="2" xfId="2" applyNumberFormat="1" applyFont="1" applyFill="1" applyBorder="1" applyAlignment="1">
      <alignment horizontal="right" vertical="center"/>
    </xf>
    <xf numFmtId="0" fontId="8" fillId="4" borderId="2" xfId="2" applyFont="1" applyFill="1" applyBorder="1" applyAlignment="1">
      <alignment horizontal="left" vertical="center" wrapText="1"/>
    </xf>
    <xf numFmtId="0" fontId="7" fillId="7" borderId="1" xfId="2" applyFont="1" applyFill="1" applyBorder="1"/>
    <xf numFmtId="3" fontId="7" fillId="7" borderId="1" xfId="2" applyNumberFormat="1" applyFont="1" applyFill="1" applyBorder="1" applyAlignment="1">
      <alignment horizontal="right" vertical="center"/>
    </xf>
    <xf numFmtId="166" fontId="8" fillId="7" borderId="1" xfId="4" applyNumberFormat="1" applyFont="1" applyFill="1" applyBorder="1" applyAlignment="1">
      <alignment horizontal="left"/>
    </xf>
    <xf numFmtId="0" fontId="7" fillId="6" borderId="1" xfId="2" applyFont="1" applyFill="1" applyBorder="1" applyAlignment="1">
      <alignment horizontal="center" wrapText="1"/>
    </xf>
    <xf numFmtId="0" fontId="7" fillId="6" borderId="1" xfId="2" applyFont="1" applyFill="1" applyBorder="1" applyAlignment="1">
      <alignment horizontal="center" vertical="center" wrapText="1"/>
    </xf>
    <xf numFmtId="0" fontId="8" fillId="4" borderId="4" xfId="2" applyFont="1" applyFill="1" applyBorder="1" applyAlignment="1">
      <alignment wrapText="1"/>
    </xf>
    <xf numFmtId="3" fontId="8" fillId="4" borderId="4" xfId="2" applyNumberFormat="1" applyFont="1" applyFill="1" applyBorder="1" applyAlignment="1">
      <alignment horizontal="right"/>
    </xf>
    <xf numFmtId="9" fontId="7" fillId="7" borderId="1" xfId="3" applyFont="1" applyFill="1" applyBorder="1" applyAlignment="1">
      <alignment horizontal="center"/>
    </xf>
    <xf numFmtId="0" fontId="8" fillId="4" borderId="1" xfId="2" applyFont="1" applyFill="1" applyBorder="1" applyAlignment="1">
      <alignment wrapText="1"/>
    </xf>
    <xf numFmtId="3" fontId="8" fillId="4" borderId="1" xfId="2" applyNumberFormat="1" applyFont="1" applyFill="1" applyBorder="1" applyAlignment="1">
      <alignment horizontal="right"/>
    </xf>
    <xf numFmtId="166" fontId="8" fillId="7" borderId="1" xfId="4" applyNumberFormat="1" applyFont="1" applyFill="1" applyBorder="1" applyAlignment="1">
      <alignment horizontal="right"/>
    </xf>
    <xf numFmtId="9" fontId="8" fillId="0" borderId="0" xfId="3" applyNumberFormat="1" applyFont="1"/>
    <xf numFmtId="0" fontId="7" fillId="9" borderId="1" xfId="2" applyFont="1" applyFill="1" applyBorder="1"/>
    <xf numFmtId="3" fontId="7" fillId="9" borderId="1" xfId="2" applyNumberFormat="1" applyFont="1" applyFill="1" applyBorder="1" applyAlignment="1">
      <alignment horizontal="right"/>
    </xf>
    <xf numFmtId="167" fontId="7" fillId="7" borderId="1" xfId="3" applyNumberFormat="1" applyFont="1" applyFill="1" applyBorder="1" applyAlignment="1">
      <alignment horizontal="center"/>
    </xf>
    <xf numFmtId="165" fontId="8" fillId="0" borderId="0" xfId="5" applyFont="1"/>
    <xf numFmtId="3" fontId="3" fillId="0" borderId="1" xfId="0" applyNumberFormat="1" applyFont="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 fillId="0" borderId="10" xfId="0" applyFont="1" applyBorder="1" applyAlignment="1">
      <alignment vertical="top" wrapText="1"/>
    </xf>
    <xf numFmtId="3" fontId="3" fillId="0" borderId="2" xfId="0" applyNumberFormat="1" applyFont="1" applyBorder="1" applyAlignment="1">
      <alignment vertical="top" wrapText="1"/>
    </xf>
    <xf numFmtId="3" fontId="3" fillId="0" borderId="9" xfId="0" applyNumberFormat="1" applyFont="1" applyBorder="1" applyAlignment="1">
      <alignment vertical="top" wrapText="1"/>
    </xf>
    <xf numFmtId="0" fontId="3" fillId="0" borderId="6" xfId="0" applyFont="1" applyBorder="1" applyAlignment="1">
      <alignment vertical="top" wrapText="1"/>
    </xf>
    <xf numFmtId="164" fontId="3" fillId="0" borderId="4" xfId="1" applyFont="1" applyBorder="1" applyAlignment="1">
      <alignment horizontal="right" vertical="top" wrapText="1"/>
    </xf>
    <xf numFmtId="164" fontId="8" fillId="4" borderId="0" xfId="1" applyFont="1" applyFill="1"/>
    <xf numFmtId="3" fontId="1" fillId="0" borderId="0" xfId="0" applyNumberFormat="1" applyFont="1" applyAlignment="1">
      <alignment vertical="top" wrapText="1"/>
    </xf>
    <xf numFmtId="1" fontId="3" fillId="0" borderId="2" xfId="0" applyNumberFormat="1" applyFont="1" applyBorder="1" applyAlignment="1">
      <alignment vertical="top" wrapText="1"/>
    </xf>
    <xf numFmtId="3" fontId="3" fillId="0" borderId="0" xfId="0" applyNumberFormat="1" applyFont="1" applyAlignment="1">
      <alignment vertical="top" wrapText="1"/>
    </xf>
    <xf numFmtId="0" fontId="1" fillId="0" borderId="0" xfId="0" applyFont="1" applyAlignment="1">
      <alignment horizontal="right" vertical="top" wrapText="1"/>
    </xf>
    <xf numFmtId="0" fontId="1" fillId="0" borderId="22" xfId="0" applyFont="1" applyBorder="1" applyAlignment="1">
      <alignment horizontal="right" vertical="top" wrapText="1"/>
    </xf>
    <xf numFmtId="0" fontId="1" fillId="0" borderId="23" xfId="0" applyFont="1" applyBorder="1" applyAlignment="1">
      <alignment vertical="top" wrapText="1"/>
    </xf>
    <xf numFmtId="0" fontId="1" fillId="0" borderId="25" xfId="0" applyFont="1" applyBorder="1" applyAlignment="1">
      <alignment vertical="top" wrapText="1"/>
    </xf>
    <xf numFmtId="0" fontId="1" fillId="0" borderId="26" xfId="0" applyFont="1" applyBorder="1" applyAlignment="1">
      <alignment vertical="top" wrapText="1"/>
    </xf>
    <xf numFmtId="9" fontId="1" fillId="0" borderId="27" xfId="7" applyFont="1" applyBorder="1" applyAlignment="1">
      <alignment vertical="top" wrapText="1"/>
    </xf>
    <xf numFmtId="16" fontId="1" fillId="0" borderId="24" xfId="0" applyNumberFormat="1" applyFont="1" applyBorder="1" applyAlignment="1">
      <alignment horizontal="right" vertical="top" wrapText="1"/>
    </xf>
    <xf numFmtId="1" fontId="1" fillId="0" borderId="23" xfId="0" applyNumberFormat="1" applyFont="1" applyBorder="1" applyAlignment="1">
      <alignment vertical="top" wrapText="1"/>
    </xf>
    <xf numFmtId="1" fontId="1" fillId="0" borderId="28" xfId="0" applyNumberFormat="1" applyFont="1" applyBorder="1" applyAlignment="1">
      <alignment vertical="top" wrapText="1"/>
    </xf>
    <xf numFmtId="3" fontId="3" fillId="0" borderId="29" xfId="0" applyNumberFormat="1" applyFont="1" applyBorder="1" applyAlignment="1">
      <alignment horizontal="right" vertical="top" wrapText="1"/>
    </xf>
    <xf numFmtId="3" fontId="3" fillId="0" borderId="30" xfId="0" applyNumberFormat="1" applyFont="1" applyBorder="1" applyAlignment="1">
      <alignment horizontal="right" vertical="top" wrapText="1"/>
    </xf>
    <xf numFmtId="3" fontId="3" fillId="0" borderId="0" xfId="0" applyNumberFormat="1" applyFont="1" applyBorder="1" applyAlignment="1">
      <alignment horizontal="right" vertical="top" wrapText="1"/>
    </xf>
    <xf numFmtId="3" fontId="3" fillId="0" borderId="11" xfId="0" applyNumberFormat="1" applyFont="1" applyBorder="1" applyAlignment="1">
      <alignment horizontal="right" vertical="top" wrapText="1"/>
    </xf>
    <xf numFmtId="0" fontId="1" fillId="0" borderId="7" xfId="0" applyFont="1" applyBorder="1" applyAlignment="1">
      <alignment vertical="top" wrapText="1"/>
    </xf>
    <xf numFmtId="3" fontId="3" fillId="0" borderId="7" xfId="0" applyNumberFormat="1" applyFont="1" applyBorder="1" applyAlignment="1">
      <alignment vertical="top" wrapText="1"/>
    </xf>
    <xf numFmtId="0" fontId="3" fillId="0" borderId="10" xfId="0" applyFont="1" applyBorder="1" applyAlignment="1">
      <alignmen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3" fontId="1" fillId="0" borderId="0" xfId="0" applyNumberFormat="1" applyFont="1" applyBorder="1" applyAlignment="1">
      <alignment vertical="top" wrapText="1"/>
    </xf>
    <xf numFmtId="1" fontId="1" fillId="0" borderId="0" xfId="0" applyNumberFormat="1" applyFont="1" applyAlignment="1">
      <alignment vertical="top" wrapText="1"/>
    </xf>
    <xf numFmtId="0" fontId="1" fillId="0" borderId="22" xfId="0" applyFont="1" applyBorder="1" applyAlignment="1">
      <alignment vertical="top" wrapText="1"/>
    </xf>
    <xf numFmtId="9" fontId="0" fillId="0" borderId="0" xfId="7" applyFont="1"/>
    <xf numFmtId="4" fontId="0" fillId="0" borderId="0" xfId="0" applyNumberFormat="1"/>
    <xf numFmtId="0" fontId="0" fillId="11" borderId="0" xfId="0" applyFill="1"/>
    <xf numFmtId="0" fontId="10" fillId="12" borderId="36" xfId="0" applyFont="1" applyFill="1" applyBorder="1" applyAlignment="1">
      <alignment horizontal="right" wrapText="1"/>
    </xf>
    <xf numFmtId="0" fontId="10" fillId="0" borderId="0" xfId="0" applyFont="1"/>
    <xf numFmtId="3" fontId="0" fillId="0" borderId="0" xfId="0" applyNumberFormat="1"/>
    <xf numFmtId="1" fontId="0" fillId="0" borderId="0" xfId="0" applyNumberFormat="1"/>
    <xf numFmtId="3" fontId="11" fillId="0"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3" fontId="6" fillId="0" borderId="0" xfId="0" applyNumberFormat="1" applyFont="1"/>
    <xf numFmtId="168" fontId="0" fillId="0" borderId="0" xfId="1" applyNumberFormat="1" applyFont="1"/>
    <xf numFmtId="10" fontId="0" fillId="0" borderId="0" xfId="7" applyNumberFormat="1" applyFont="1"/>
    <xf numFmtId="1" fontId="0" fillId="13" borderId="37" xfId="0" applyNumberFormat="1" applyFill="1" applyBorder="1" applyAlignment="1">
      <alignment horizontal="right"/>
    </xf>
    <xf numFmtId="1" fontId="0" fillId="14" borderId="37" xfId="0" applyNumberFormat="1" applyFill="1" applyBorder="1" applyAlignment="1">
      <alignment horizontal="right"/>
    </xf>
    <xf numFmtId="0" fontId="0" fillId="8" borderId="0" xfId="0" applyFill="1"/>
    <xf numFmtId="0" fontId="2" fillId="8" borderId="0" xfId="0" applyFont="1" applyFill="1"/>
    <xf numFmtId="168" fontId="2" fillId="8" borderId="0" xfId="0" applyNumberFormat="1" applyFont="1" applyFill="1"/>
    <xf numFmtId="3" fontId="6" fillId="8" borderId="0" xfId="0" applyNumberFormat="1" applyFont="1" applyFill="1" applyBorder="1"/>
    <xf numFmtId="0" fontId="0" fillId="8" borderId="0" xfId="0" applyFill="1" applyAlignment="1">
      <alignment horizontal="left" vertical="top" wrapText="1"/>
    </xf>
    <xf numFmtId="0" fontId="21" fillId="8" borderId="0" xfId="0" applyFont="1" applyFill="1" applyAlignment="1">
      <alignment horizontal="left" vertical="top" wrapText="1"/>
    </xf>
    <xf numFmtId="0" fontId="0" fillId="8" borderId="0" xfId="0" applyFont="1" applyFill="1"/>
    <xf numFmtId="3" fontId="0" fillId="8" borderId="0" xfId="0" applyNumberFormat="1" applyFill="1" applyAlignment="1">
      <alignment horizontal="right"/>
    </xf>
    <xf numFmtId="3" fontId="22" fillId="8" borderId="0" xfId="0" applyNumberFormat="1" applyFont="1" applyFill="1" applyAlignment="1">
      <alignment horizontal="right"/>
    </xf>
    <xf numFmtId="4" fontId="0" fillId="8" borderId="0" xfId="0" applyNumberFormat="1" applyFont="1" applyFill="1" applyBorder="1"/>
    <xf numFmtId="0" fontId="28" fillId="0" borderId="2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3" xfId="0" applyFont="1" applyBorder="1" applyAlignment="1">
      <alignment horizontal="justify" vertical="center" wrapText="1"/>
    </xf>
    <xf numFmtId="4" fontId="29" fillId="0" borderId="19" xfId="0" applyNumberFormat="1" applyFont="1" applyBorder="1" applyAlignment="1">
      <alignment horizontal="right" vertical="center" wrapText="1"/>
    </xf>
    <xf numFmtId="4" fontId="29" fillId="0" borderId="19" xfId="0" applyNumberFormat="1" applyFont="1" applyBorder="1" applyAlignment="1">
      <alignment horizontal="center" vertical="center" wrapText="1"/>
    </xf>
    <xf numFmtId="10" fontId="29" fillId="0" borderId="19" xfId="0" applyNumberFormat="1" applyFont="1" applyBorder="1" applyAlignment="1">
      <alignment horizontal="center" vertical="center" wrapText="1"/>
    </xf>
    <xf numFmtId="0" fontId="0" fillId="8" borderId="0" xfId="0" applyFont="1" applyFill="1" applyBorder="1"/>
    <xf numFmtId="0" fontId="29" fillId="0" borderId="33" xfId="0" applyFont="1" applyFill="1" applyBorder="1" applyAlignment="1">
      <alignment horizontal="justify" vertical="center" wrapText="1"/>
    </xf>
    <xf numFmtId="0" fontId="29" fillId="0" borderId="19" xfId="0" applyFont="1" applyFill="1" applyBorder="1" applyAlignment="1">
      <alignment horizontal="left" vertical="center" wrapText="1"/>
    </xf>
    <xf numFmtId="0" fontId="29" fillId="0" borderId="19" xfId="0" applyFont="1" applyBorder="1" applyAlignment="1">
      <alignment horizontal="right" vertical="center" wrapText="1"/>
    </xf>
    <xf numFmtId="2" fontId="29" fillId="0" borderId="19" xfId="0" applyNumberFormat="1" applyFont="1" applyBorder="1" applyAlignment="1">
      <alignment horizontal="right" vertical="center" wrapText="1"/>
    </xf>
    <xf numFmtId="10" fontId="29" fillId="0" borderId="19" xfId="7" applyNumberFormat="1" applyFont="1" applyBorder="1" applyAlignment="1">
      <alignment horizontal="center" vertical="center" wrapText="1"/>
    </xf>
    <xf numFmtId="4" fontId="0" fillId="8" borderId="0" xfId="0" applyNumberFormat="1" applyFont="1" applyFill="1"/>
    <xf numFmtId="0" fontId="29" fillId="0" borderId="19" xfId="0" applyFont="1" applyFill="1" applyBorder="1" applyAlignment="1">
      <alignment horizontal="justify" vertical="center" wrapText="1"/>
    </xf>
    <xf numFmtId="4" fontId="28" fillId="0" borderId="19" xfId="0" applyNumberFormat="1" applyFont="1" applyBorder="1" applyAlignment="1">
      <alignment horizontal="center" vertical="center" wrapText="1"/>
    </xf>
    <xf numFmtId="170" fontId="28" fillId="0" borderId="19" xfId="7" applyNumberFormat="1" applyFont="1" applyBorder="1" applyAlignment="1">
      <alignment horizontal="center" vertical="center" wrapText="1"/>
    </xf>
    <xf numFmtId="3" fontId="2" fillId="8" borderId="0" xfId="0" applyNumberFormat="1" applyFont="1" applyFill="1" applyBorder="1" applyAlignment="1">
      <alignment horizontal="right" vertical="center" wrapText="1"/>
    </xf>
    <xf numFmtId="4" fontId="2" fillId="8" borderId="0" xfId="0" applyNumberFormat="1" applyFont="1" applyFill="1" applyBorder="1" applyAlignment="1">
      <alignment horizontal="right" vertical="center" wrapText="1"/>
    </xf>
    <xf numFmtId="3" fontId="0" fillId="8" borderId="0" xfId="0" applyNumberFormat="1" applyFont="1" applyFill="1" applyBorder="1" applyAlignment="1">
      <alignment vertical="top" wrapText="1"/>
    </xf>
    <xf numFmtId="3" fontId="0" fillId="8" borderId="0" xfId="0" applyNumberFormat="1" applyFont="1" applyFill="1" applyBorder="1"/>
    <xf numFmtId="3" fontId="29" fillId="8" borderId="0" xfId="0" applyNumberFormat="1" applyFont="1" applyFill="1" applyBorder="1" applyAlignment="1">
      <alignment horizontal="right" vertical="center" wrapText="1"/>
    </xf>
    <xf numFmtId="3" fontId="30" fillId="8" borderId="0" xfId="0" applyNumberFormat="1" applyFont="1" applyFill="1" applyBorder="1" applyAlignment="1">
      <alignment wrapText="1"/>
    </xf>
    <xf numFmtId="3" fontId="31" fillId="8" borderId="0" xfId="0" applyNumberFormat="1" applyFont="1" applyFill="1" applyBorder="1" applyAlignment="1">
      <alignment vertical="center" wrapText="1"/>
    </xf>
    <xf numFmtId="3" fontId="30" fillId="8" borderId="0" xfId="0" applyNumberFormat="1" applyFont="1" applyFill="1" applyBorder="1" applyAlignment="1">
      <alignment horizontal="right" wrapText="1"/>
    </xf>
    <xf numFmtId="3" fontId="30" fillId="8" borderId="0" xfId="0" applyNumberFormat="1" applyFont="1" applyFill="1" applyBorder="1" applyAlignment="1">
      <alignment horizontal="right" vertical="top" wrapText="1"/>
    </xf>
    <xf numFmtId="3" fontId="18" fillId="15" borderId="1" xfId="0" applyNumberFormat="1" applyFont="1" applyFill="1" applyBorder="1" applyAlignment="1">
      <alignment horizontal="center" vertical="center" wrapText="1"/>
    </xf>
    <xf numFmtId="3" fontId="3" fillId="17" borderId="1" xfId="0" applyNumberFormat="1" applyFont="1" applyFill="1" applyBorder="1" applyAlignment="1">
      <alignment horizontal="center" vertical="center"/>
    </xf>
    <xf numFmtId="3" fontId="2" fillId="10" borderId="1" xfId="0" applyNumberFormat="1" applyFont="1" applyFill="1" applyBorder="1" applyAlignment="1">
      <alignment vertical="distributed"/>
    </xf>
    <xf numFmtId="3" fontId="19" fillId="10" borderId="1" xfId="0" applyNumberFormat="1" applyFont="1" applyFill="1" applyBorder="1" applyAlignment="1">
      <alignment vertical="distributed"/>
    </xf>
    <xf numFmtId="3" fontId="20" fillId="17" borderId="1" xfId="0" applyNumberFormat="1" applyFont="1" applyFill="1" applyBorder="1" applyAlignment="1">
      <alignment vertical="distributed"/>
    </xf>
    <xf numFmtId="3" fontId="2" fillId="10" borderId="1" xfId="0" applyNumberFormat="1" applyFont="1" applyFill="1" applyBorder="1" applyAlignment="1">
      <alignment vertical="distributed" wrapText="1"/>
    </xf>
    <xf numFmtId="3" fontId="1" fillId="10" borderId="1" xfId="0" applyNumberFormat="1" applyFont="1" applyFill="1" applyBorder="1" applyAlignment="1">
      <alignment vertical="distributed" wrapText="1"/>
    </xf>
    <xf numFmtId="0" fontId="33" fillId="10" borderId="1" xfId="0" applyFont="1" applyFill="1" applyBorder="1" applyAlignment="1">
      <alignment vertical="center" wrapText="1"/>
    </xf>
    <xf numFmtId="0" fontId="17" fillId="0" borderId="19" xfId="0" applyFont="1" applyBorder="1" applyAlignment="1">
      <alignment horizontal="justify" vertical="center" wrapText="1"/>
    </xf>
    <xf numFmtId="0" fontId="17" fillId="0" borderId="19" xfId="0" applyFont="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19" xfId="0" applyNumberFormat="1" applyFont="1" applyBorder="1" applyAlignment="1">
      <alignment horizontal="center" vertical="center" wrapText="1"/>
    </xf>
    <xf numFmtId="0" fontId="34" fillId="0" borderId="19" xfId="0" applyFont="1" applyBorder="1" applyAlignment="1">
      <alignment horizontal="left" vertical="center" wrapText="1"/>
    </xf>
    <xf numFmtId="0" fontId="28" fillId="0" borderId="47" xfId="0" applyFont="1" applyBorder="1" applyAlignment="1">
      <alignment horizontal="justify" vertical="center" wrapText="1"/>
    </xf>
    <xf numFmtId="0" fontId="28" fillId="0" borderId="15" xfId="0" applyFont="1" applyBorder="1" applyAlignment="1">
      <alignment horizontal="justify" vertical="center" wrapText="1"/>
    </xf>
    <xf numFmtId="0" fontId="28" fillId="0" borderId="15" xfId="0" applyFont="1" applyBorder="1" applyAlignment="1">
      <alignment horizontal="center" vertical="center" wrapText="1"/>
    </xf>
    <xf numFmtId="0" fontId="28" fillId="0" borderId="15" xfId="0" applyNumberFormat="1" applyFont="1" applyFill="1" applyBorder="1" applyAlignment="1">
      <alignment horizontal="center" vertical="center" wrapText="1"/>
    </xf>
    <xf numFmtId="0" fontId="28" fillId="0" borderId="15" xfId="0" applyNumberFormat="1" applyFont="1" applyBorder="1" applyAlignment="1">
      <alignment horizontal="center" vertical="center" wrapText="1"/>
    </xf>
    <xf numFmtId="0" fontId="28" fillId="0" borderId="48" xfId="0" applyNumberFormat="1" applyFont="1" applyBorder="1" applyAlignment="1">
      <alignment horizontal="center" vertical="center" wrapText="1"/>
    </xf>
    <xf numFmtId="0" fontId="28" fillId="0" borderId="15" xfId="0" applyNumberFormat="1" applyFont="1" applyBorder="1" applyAlignment="1" applyProtection="1">
      <alignment horizontal="center" vertical="center"/>
      <protection locked="0"/>
    </xf>
    <xf numFmtId="0" fontId="28" fillId="0" borderId="35"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4" xfId="0" applyFont="1" applyBorder="1" applyAlignment="1">
      <alignment horizontal="justify" vertical="center" wrapText="1"/>
    </xf>
    <xf numFmtId="0" fontId="35" fillId="19" borderId="33" xfId="0" applyFont="1" applyFill="1" applyBorder="1" applyAlignment="1">
      <alignment horizontal="justify" vertical="center" wrapText="1"/>
    </xf>
    <xf numFmtId="0" fontId="35" fillId="19" borderId="19" xfId="0" applyFont="1" applyFill="1" applyBorder="1" applyAlignment="1">
      <alignment horizontal="justify" vertical="center" wrapText="1"/>
    </xf>
    <xf numFmtId="0" fontId="1" fillId="8" borderId="0" xfId="0" applyFont="1" applyFill="1"/>
    <xf numFmtId="0" fontId="4" fillId="0" borderId="0" xfId="0" applyFont="1" applyBorder="1" applyAlignment="1">
      <alignment horizontal="center" vertical="center"/>
    </xf>
    <xf numFmtId="0" fontId="28" fillId="19" borderId="19" xfId="0" applyFont="1" applyFill="1" applyBorder="1" applyAlignment="1">
      <alignment horizontal="right" vertical="center" wrapText="1"/>
    </xf>
    <xf numFmtId="4" fontId="28" fillId="19" borderId="19" xfId="0" applyNumberFormat="1" applyFont="1" applyFill="1" applyBorder="1" applyAlignment="1">
      <alignment horizontal="right" vertical="center" wrapText="1"/>
    </xf>
    <xf numFmtId="2" fontId="2" fillId="8" borderId="0" xfId="0" applyNumberFormat="1" applyFont="1" applyFill="1"/>
    <xf numFmtId="0" fontId="34" fillId="0" borderId="19" xfId="0" applyFont="1" applyBorder="1" applyAlignment="1">
      <alignment horizontal="justify" vertical="center" wrapText="1"/>
    </xf>
    <xf numFmtId="0" fontId="34" fillId="0" borderId="33" xfId="0" applyFont="1" applyBorder="1" applyAlignment="1">
      <alignment horizontal="center" vertical="center" wrapText="1"/>
    </xf>
    <xf numFmtId="0" fontId="36" fillId="0" borderId="19" xfId="0" applyFont="1" applyBorder="1" applyAlignment="1">
      <alignment horizontal="left" vertical="center" wrapText="1"/>
    </xf>
    <xf numFmtId="4" fontId="29" fillId="18" borderId="19" xfId="0" applyNumberFormat="1" applyFont="1" applyFill="1" applyBorder="1" applyAlignment="1">
      <alignment horizontal="right" vertical="center" wrapText="1"/>
    </xf>
    <xf numFmtId="0" fontId="37" fillId="0" borderId="19" xfId="0" applyFont="1" applyBorder="1" applyAlignment="1">
      <alignment horizontal="left" vertical="center" wrapText="1"/>
    </xf>
    <xf numFmtId="0" fontId="38" fillId="0" borderId="19" xfId="0" applyNumberFormat="1" applyFont="1" applyBorder="1" applyAlignment="1">
      <alignment horizontal="center" vertical="center" wrapText="1"/>
    </xf>
    <xf numFmtId="4" fontId="27" fillId="8" borderId="0" xfId="0" applyNumberFormat="1" applyFont="1" applyFill="1" applyAlignment="1"/>
    <xf numFmtId="3" fontId="27" fillId="8" borderId="0" xfId="0" applyNumberFormat="1" applyFont="1" applyFill="1" applyAlignment="1"/>
    <xf numFmtId="4" fontId="40" fillId="8" borderId="0" xfId="0" applyNumberFormat="1" applyFont="1" applyFill="1"/>
    <xf numFmtId="0" fontId="35" fillId="0" borderId="19" xfId="0" applyFont="1" applyBorder="1" applyAlignment="1">
      <alignment horizontal="center" vertical="center" wrapText="1"/>
    </xf>
    <xf numFmtId="4" fontId="29" fillId="8" borderId="19" xfId="0" applyNumberFormat="1" applyFont="1" applyFill="1" applyBorder="1" applyAlignment="1">
      <alignment horizontal="right" vertical="center" wrapText="1"/>
    </xf>
    <xf numFmtId="171" fontId="6" fillId="8" borderId="0" xfId="0" applyNumberFormat="1" applyFont="1" applyFill="1" applyBorder="1"/>
    <xf numFmtId="172" fontId="0" fillId="8" borderId="0" xfId="0" applyNumberFormat="1" applyFont="1" applyFill="1"/>
    <xf numFmtId="4" fontId="39" fillId="18" borderId="19" xfId="0" applyNumberFormat="1" applyFont="1" applyFill="1" applyBorder="1" applyAlignment="1">
      <alignment horizontal="right" vertical="center" wrapText="1"/>
    </xf>
    <xf numFmtId="0" fontId="42" fillId="8" borderId="0" xfId="0" applyFont="1" applyFill="1" applyBorder="1"/>
    <xf numFmtId="3" fontId="42" fillId="8" borderId="0" xfId="0" applyNumberFormat="1" applyFont="1" applyFill="1" applyBorder="1" applyAlignment="1">
      <alignment vertical="center" wrapText="1"/>
    </xf>
    <xf numFmtId="3" fontId="42" fillId="8" borderId="0" xfId="0" applyNumberFormat="1" applyFont="1" applyFill="1" applyBorder="1" applyAlignment="1"/>
    <xf numFmtId="3" fontId="42" fillId="8" borderId="0" xfId="0" applyNumberFormat="1" applyFont="1" applyFill="1" applyBorder="1" applyAlignment="1">
      <alignment horizontal="right" vertical="center" wrapText="1"/>
    </xf>
    <xf numFmtId="3" fontId="42" fillId="8" borderId="0" xfId="0" applyNumberFormat="1" applyFont="1" applyFill="1" applyBorder="1"/>
    <xf numFmtId="4" fontId="6" fillId="8" borderId="0" xfId="0" applyNumberFormat="1" applyFont="1" applyFill="1" applyBorder="1"/>
    <xf numFmtId="3" fontId="32" fillId="2" borderId="50" xfId="0" applyNumberFormat="1" applyFont="1" applyFill="1" applyBorder="1" applyAlignment="1">
      <alignment horizontal="center" vertical="center" wrapText="1"/>
    </xf>
    <xf numFmtId="0" fontId="23" fillId="2" borderId="52" xfId="0" applyFont="1" applyFill="1" applyBorder="1" applyAlignment="1">
      <alignment horizontal="center" vertical="top" wrapText="1"/>
    </xf>
    <xf numFmtId="3" fontId="18" fillId="16" borderId="52" xfId="0" applyNumberFormat="1" applyFont="1" applyFill="1" applyBorder="1" applyAlignment="1">
      <alignment vertical="top" wrapText="1"/>
    </xf>
    <xf numFmtId="9" fontId="18" fillId="16" borderId="52" xfId="7" applyFont="1" applyFill="1" applyBorder="1" applyAlignment="1">
      <alignment vertical="top" wrapText="1"/>
    </xf>
    <xf numFmtId="9" fontId="18" fillId="16" borderId="52" xfId="0" applyNumberFormat="1" applyFont="1" applyFill="1" applyBorder="1" applyAlignment="1">
      <alignment vertical="top" wrapText="1"/>
    </xf>
    <xf numFmtId="4" fontId="3" fillId="2" borderId="52" xfId="0" applyNumberFormat="1" applyFont="1" applyFill="1" applyBorder="1" applyAlignment="1">
      <alignment vertical="center" wrapText="1"/>
    </xf>
    <xf numFmtId="0" fontId="47" fillId="8" borderId="0" xfId="0" applyFont="1" applyFill="1" applyBorder="1"/>
    <xf numFmtId="4" fontId="47" fillId="8" borderId="0" xfId="0" applyNumberFormat="1" applyFont="1" applyFill="1"/>
    <xf numFmtId="3" fontId="48" fillId="8" borderId="0" xfId="0" applyNumberFormat="1" applyFont="1" applyFill="1" applyBorder="1" applyAlignment="1">
      <alignment horizontal="center" vertical="center" wrapText="1"/>
    </xf>
    <xf numFmtId="3" fontId="47" fillId="8" borderId="0" xfId="0" applyNumberFormat="1" applyFont="1" applyFill="1" applyBorder="1" applyAlignment="1">
      <alignment vertical="center" wrapText="1"/>
    </xf>
    <xf numFmtId="3" fontId="48" fillId="8" borderId="0" xfId="0" applyNumberFormat="1" applyFont="1" applyFill="1" applyBorder="1" applyAlignment="1">
      <alignment vertical="top" wrapText="1"/>
    </xf>
    <xf numFmtId="0" fontId="28" fillId="0" borderId="21" xfId="0" applyFont="1" applyBorder="1" applyAlignment="1">
      <alignment horizontal="center" vertical="center" wrapText="1"/>
    </xf>
    <xf numFmtId="4" fontId="29" fillId="0" borderId="19" xfId="0" applyNumberFormat="1" applyFont="1" applyFill="1" applyBorder="1" applyAlignment="1">
      <alignment horizontal="center" vertical="center" wrapText="1"/>
    </xf>
    <xf numFmtId="0" fontId="29" fillId="0" borderId="19" xfId="0" applyFont="1" applyFill="1" applyBorder="1" applyAlignment="1">
      <alignment horizontal="center" vertical="center" wrapText="1"/>
    </xf>
    <xf numFmtId="4" fontId="29" fillId="20" borderId="19" xfId="0" applyNumberFormat="1" applyFont="1" applyFill="1" applyBorder="1" applyAlignment="1">
      <alignment horizontal="right" vertical="center" wrapText="1"/>
    </xf>
    <xf numFmtId="4" fontId="28" fillId="20" borderId="19" xfId="0" applyNumberFormat="1" applyFont="1" applyFill="1" applyBorder="1" applyAlignment="1">
      <alignment horizontal="right" vertical="center" wrapText="1"/>
    </xf>
    <xf numFmtId="0" fontId="2" fillId="8" borderId="0" xfId="0" applyFont="1" applyFill="1" applyAlignment="1">
      <alignment horizontal="center" vertical="center" wrapText="1"/>
    </xf>
    <xf numFmtId="4" fontId="29" fillId="20" borderId="1" xfId="0" applyNumberFormat="1" applyFont="1" applyFill="1" applyBorder="1" applyAlignment="1">
      <alignment horizontal="right" vertical="center" wrapText="1"/>
    </xf>
    <xf numFmtId="3" fontId="23" fillId="2" borderId="52" xfId="0" applyNumberFormat="1" applyFont="1" applyFill="1" applyBorder="1" applyAlignment="1">
      <alignment horizontal="center" vertical="top" wrapText="1"/>
    </xf>
    <xf numFmtId="3" fontId="3" fillId="2" borderId="52" xfId="7" applyNumberFormat="1" applyFont="1" applyFill="1" applyBorder="1" applyAlignment="1">
      <alignment horizontal="center" vertical="center" wrapText="1"/>
    </xf>
    <xf numFmtId="3" fontId="23" fillId="15" borderId="52" xfId="7" applyNumberFormat="1" applyFont="1" applyFill="1" applyBorder="1" applyAlignment="1">
      <alignment horizontal="right" vertical="top" wrapText="1"/>
    </xf>
    <xf numFmtId="0" fontId="21" fillId="8" borderId="0" xfId="0" applyFont="1" applyFill="1" applyBorder="1" applyAlignment="1">
      <alignment horizontal="left" vertical="top" wrapText="1"/>
    </xf>
    <xf numFmtId="3" fontId="0" fillId="8" borderId="0" xfId="0" applyNumberFormat="1" applyFill="1" applyBorder="1" applyAlignment="1">
      <alignment horizontal="right"/>
    </xf>
    <xf numFmtId="3" fontId="22" fillId="8" borderId="0" xfId="0" applyNumberFormat="1" applyFont="1" applyFill="1" applyBorder="1" applyAlignment="1">
      <alignment horizontal="right"/>
    </xf>
    <xf numFmtId="4" fontId="29" fillId="0" borderId="19" xfId="0" applyNumberFormat="1" applyFont="1" applyFill="1" applyBorder="1" applyAlignment="1">
      <alignment horizontal="right" vertical="center" wrapText="1"/>
    </xf>
    <xf numFmtId="0" fontId="29" fillId="0" borderId="19" xfId="0" applyFont="1" applyFill="1" applyBorder="1" applyAlignment="1">
      <alignment horizontal="right" vertical="center" wrapText="1"/>
    </xf>
    <xf numFmtId="3" fontId="25" fillId="16" borderId="52" xfId="0" applyNumberFormat="1" applyFont="1" applyFill="1" applyBorder="1" applyAlignment="1">
      <alignment horizontal="left" vertical="top" wrapText="1"/>
    </xf>
    <xf numFmtId="3" fontId="18" fillId="16" borderId="52" xfId="7" applyNumberFormat="1" applyFont="1" applyFill="1" applyBorder="1" applyAlignment="1">
      <alignment horizontal="center" vertical="top" wrapText="1"/>
    </xf>
    <xf numFmtId="3" fontId="25" fillId="16" borderId="52" xfId="0" applyNumberFormat="1" applyFont="1" applyFill="1" applyBorder="1" applyAlignment="1">
      <alignment vertical="top" wrapText="1"/>
    </xf>
    <xf numFmtId="0" fontId="25" fillId="2" borderId="52" xfId="0" applyFont="1" applyFill="1" applyBorder="1" applyAlignment="1">
      <alignment horizontal="center" vertical="top" wrapText="1"/>
    </xf>
    <xf numFmtId="3" fontId="25" fillId="2" borderId="52" xfId="0" applyNumberFormat="1" applyFont="1" applyFill="1" applyBorder="1" applyAlignment="1">
      <alignment horizontal="center" vertical="top" wrapText="1"/>
    </xf>
    <xf numFmtId="3" fontId="32" fillId="2" borderId="53" xfId="0" applyNumberFormat="1" applyFont="1" applyFill="1" applyBorder="1" applyAlignment="1">
      <alignment horizontal="center" vertical="center" wrapText="1"/>
    </xf>
    <xf numFmtId="0" fontId="23" fillId="2" borderId="54" xfId="0" applyFont="1" applyFill="1" applyBorder="1" applyAlignment="1">
      <alignment horizontal="center" vertical="top" wrapText="1"/>
    </xf>
    <xf numFmtId="9" fontId="3" fillId="2" borderId="54" xfId="0" applyNumberFormat="1" applyFont="1" applyFill="1" applyBorder="1" applyAlignment="1">
      <alignment horizontal="center" vertical="center" wrapText="1"/>
    </xf>
    <xf numFmtId="9" fontId="23" fillId="15" borderId="54" xfId="0" applyNumberFormat="1" applyFont="1" applyFill="1" applyBorder="1" applyAlignment="1">
      <alignment horizontal="right" vertical="top" wrapText="1"/>
    </xf>
    <xf numFmtId="3" fontId="49" fillId="16" borderId="51" xfId="0" applyNumberFormat="1" applyFont="1" applyFill="1" applyBorder="1" applyAlignment="1">
      <alignment horizontal="left" vertical="top" wrapText="1"/>
    </xf>
    <xf numFmtId="3" fontId="1" fillId="8" borderId="0" xfId="0" applyNumberFormat="1" applyFont="1" applyFill="1" applyBorder="1" applyAlignment="1">
      <alignment wrapText="1"/>
    </xf>
    <xf numFmtId="3" fontId="24" fillId="8" borderId="0" xfId="0" applyNumberFormat="1" applyFont="1" applyFill="1" applyBorder="1" applyAlignment="1">
      <alignment wrapText="1"/>
    </xf>
    <xf numFmtId="3" fontId="24" fillId="8" borderId="0" xfId="0" applyNumberFormat="1" applyFont="1" applyFill="1" applyBorder="1" applyAlignment="1">
      <alignment horizontal="center" wrapText="1"/>
    </xf>
    <xf numFmtId="9" fontId="1" fillId="8" borderId="0" xfId="7" applyFont="1" applyFill="1" applyBorder="1" applyAlignment="1">
      <alignment wrapText="1"/>
    </xf>
    <xf numFmtId="3" fontId="23" fillId="8" borderId="0" xfId="0" applyNumberFormat="1" applyFont="1" applyFill="1" applyBorder="1" applyAlignment="1">
      <alignment wrapText="1"/>
    </xf>
    <xf numFmtId="0" fontId="46" fillId="8" borderId="0" xfId="0" applyFont="1" applyFill="1" applyBorder="1" applyAlignment="1">
      <alignment vertical="top" wrapText="1"/>
    </xf>
    <xf numFmtId="3" fontId="18" fillId="16" borderId="56" xfId="0" applyNumberFormat="1" applyFont="1" applyFill="1" applyBorder="1" applyAlignment="1">
      <alignment vertical="top" wrapText="1"/>
    </xf>
    <xf numFmtId="9" fontId="18" fillId="16" borderId="56" xfId="0" applyNumberFormat="1" applyFont="1" applyFill="1" applyBorder="1" applyAlignment="1">
      <alignment vertical="top" wrapText="1"/>
    </xf>
    <xf numFmtId="9" fontId="3" fillId="2" borderId="57" xfId="0" applyNumberFormat="1" applyFont="1" applyFill="1" applyBorder="1" applyAlignment="1">
      <alignment horizontal="center" vertical="center" wrapText="1"/>
    </xf>
    <xf numFmtId="3" fontId="23" fillId="15" borderId="1" xfId="7" applyNumberFormat="1" applyFont="1" applyFill="1" applyBorder="1" applyAlignment="1">
      <alignment horizontal="right" vertical="top" wrapText="1"/>
    </xf>
    <xf numFmtId="9" fontId="23" fillId="15" borderId="1" xfId="0" applyNumberFormat="1" applyFont="1" applyFill="1" applyBorder="1" applyAlignment="1">
      <alignment horizontal="right" vertical="top" wrapText="1"/>
    </xf>
    <xf numFmtId="4" fontId="3" fillId="8" borderId="1" xfId="11" applyNumberFormat="1" applyFont="1" applyFill="1" applyBorder="1" applyAlignment="1">
      <alignment wrapText="1"/>
    </xf>
    <xf numFmtId="3" fontId="18" fillId="15" borderId="52" xfId="0" applyNumberFormat="1" applyFont="1" applyFill="1" applyBorder="1" applyAlignment="1">
      <alignment horizontal="center" vertical="top" wrapText="1"/>
    </xf>
    <xf numFmtId="4" fontId="18" fillId="15" borderId="52" xfId="0" applyNumberFormat="1" applyFont="1" applyFill="1" applyBorder="1" applyAlignment="1">
      <alignment horizontal="center" vertical="top" wrapText="1"/>
    </xf>
    <xf numFmtId="3" fontId="18" fillId="15" borderId="1" xfId="0" applyNumberFormat="1" applyFont="1" applyFill="1" applyBorder="1" applyAlignment="1">
      <alignment horizontal="center" vertical="top" wrapText="1"/>
    </xf>
    <xf numFmtId="3" fontId="25" fillId="15" borderId="52" xfId="0" applyNumberFormat="1" applyFont="1" applyFill="1" applyBorder="1" applyAlignment="1">
      <alignment horizontal="left" vertical="top" wrapText="1"/>
    </xf>
    <xf numFmtId="3" fontId="25" fillId="15" borderId="1" xfId="0" applyNumberFormat="1" applyFont="1" applyFill="1" applyBorder="1" applyAlignment="1">
      <alignment horizontal="left" vertical="top" wrapText="1"/>
    </xf>
    <xf numFmtId="4" fontId="28" fillId="0" borderId="0" xfId="0" applyNumberFormat="1" applyFont="1" applyFill="1" applyAlignment="1">
      <alignment horizontal="center" vertical="center" wrapText="1"/>
    </xf>
    <xf numFmtId="4" fontId="23" fillId="15" borderId="52" xfId="0" applyNumberFormat="1" applyFont="1" applyFill="1" applyBorder="1" applyAlignment="1">
      <alignment vertical="top" wrapText="1"/>
    </xf>
    <xf numFmtId="4" fontId="23" fillId="15" borderId="52" xfId="7" applyNumberFormat="1" applyFont="1" applyFill="1" applyBorder="1" applyAlignment="1">
      <alignment vertical="top" wrapText="1"/>
    </xf>
    <xf numFmtId="4" fontId="3" fillId="2" borderId="52" xfId="7" applyNumberFormat="1" applyFont="1" applyFill="1" applyBorder="1" applyAlignment="1">
      <alignment vertical="center" wrapText="1"/>
    </xf>
    <xf numFmtId="4" fontId="3" fillId="2" borderId="56" xfId="7" applyNumberFormat="1" applyFont="1" applyFill="1" applyBorder="1" applyAlignment="1">
      <alignment vertical="center" wrapText="1"/>
    </xf>
    <xf numFmtId="4" fontId="23" fillId="15" borderId="1" xfId="7" applyNumberFormat="1" applyFont="1" applyFill="1" applyBorder="1" applyAlignment="1">
      <alignment vertical="top" wrapText="1"/>
    </xf>
    <xf numFmtId="3" fontId="38" fillId="2" borderId="49" xfId="0" applyNumberFormat="1" applyFont="1" applyFill="1" applyBorder="1" applyAlignment="1">
      <alignment horizontal="center" vertical="center" wrapText="1"/>
    </xf>
    <xf numFmtId="3" fontId="38" fillId="2" borderId="50" xfId="0" applyNumberFormat="1" applyFont="1" applyFill="1" applyBorder="1" applyAlignment="1">
      <alignment horizontal="center" vertical="center" wrapText="1"/>
    </xf>
    <xf numFmtId="3" fontId="51" fillId="2" borderId="50" xfId="0" applyNumberFormat="1" applyFont="1" applyFill="1" applyBorder="1" applyAlignment="1">
      <alignment horizontal="center" vertical="center" wrapText="1"/>
    </xf>
    <xf numFmtId="0" fontId="25" fillId="2" borderId="51" xfId="0" applyFont="1" applyFill="1" applyBorder="1" applyAlignment="1">
      <alignment horizontal="center" vertical="top" wrapText="1"/>
    </xf>
    <xf numFmtId="3" fontId="49" fillId="15" borderId="51" xfId="0" applyNumberFormat="1" applyFont="1" applyFill="1" applyBorder="1" applyAlignment="1">
      <alignment horizontal="left" vertical="top" wrapText="1"/>
    </xf>
    <xf numFmtId="3" fontId="18" fillId="15" borderId="52" xfId="0" applyNumberFormat="1" applyFont="1" applyFill="1" applyBorder="1" applyAlignment="1">
      <alignment vertical="top" wrapText="1"/>
    </xf>
    <xf numFmtId="3" fontId="25" fillId="15" borderId="52" xfId="0" applyNumberFormat="1" applyFont="1" applyFill="1" applyBorder="1" applyAlignment="1">
      <alignment vertical="top" wrapText="1"/>
    </xf>
    <xf numFmtId="3" fontId="49" fillId="15" borderId="52" xfId="0" applyNumberFormat="1" applyFont="1" applyFill="1" applyBorder="1" applyAlignment="1">
      <alignment horizontal="left" vertical="top" wrapText="1"/>
    </xf>
    <xf numFmtId="3" fontId="18" fillId="16" borderId="52" xfId="0" applyNumberFormat="1" applyFont="1" applyFill="1" applyBorder="1" applyAlignment="1">
      <alignment horizontal="left" vertical="top" wrapText="1"/>
    </xf>
    <xf numFmtId="3" fontId="25" fillId="15" borderId="52" xfId="0" applyNumberFormat="1" applyFont="1" applyFill="1" applyBorder="1" applyAlignment="1">
      <alignment horizontal="right" vertical="top" wrapText="1"/>
    </xf>
    <xf numFmtId="3" fontId="49" fillId="16" borderId="55" xfId="0" applyNumberFormat="1" applyFont="1" applyFill="1" applyBorder="1" applyAlignment="1">
      <alignment vertical="top" wrapText="1"/>
    </xf>
    <xf numFmtId="3" fontId="25" fillId="16" borderId="56" xfId="0" applyNumberFormat="1" applyFont="1" applyFill="1" applyBorder="1" applyAlignment="1">
      <alignment horizontal="left" vertical="top" wrapText="1"/>
    </xf>
    <xf numFmtId="3" fontId="49" fillId="15" borderId="1" xfId="0" applyNumberFormat="1" applyFont="1" applyFill="1" applyBorder="1" applyAlignment="1">
      <alignment horizontal="left" vertical="top" wrapText="1"/>
    </xf>
    <xf numFmtId="3" fontId="18" fillId="15" borderId="1" xfId="0" applyNumberFormat="1" applyFont="1" applyFill="1" applyBorder="1" applyAlignment="1">
      <alignment vertical="top" wrapText="1"/>
    </xf>
    <xf numFmtId="3" fontId="25" fillId="15" borderId="1" xfId="0" applyNumberFormat="1" applyFont="1" applyFill="1" applyBorder="1" applyAlignment="1">
      <alignment vertical="top" wrapText="1"/>
    </xf>
    <xf numFmtId="0" fontId="2" fillId="8" borderId="0" xfId="0" applyFont="1" applyFill="1" applyBorder="1"/>
    <xf numFmtId="4" fontId="43" fillId="8" borderId="0" xfId="0" applyNumberFormat="1" applyFont="1" applyFill="1" applyBorder="1"/>
    <xf numFmtId="1" fontId="2" fillId="8" borderId="0" xfId="0" applyNumberFormat="1" applyFont="1" applyFill="1" applyBorder="1"/>
    <xf numFmtId="0" fontId="14" fillId="8" borderId="0" xfId="0" applyFont="1" applyFill="1" applyBorder="1"/>
    <xf numFmtId="4" fontId="41" fillId="8" borderId="0" xfId="0" applyNumberFormat="1" applyFont="1" applyFill="1" applyBorder="1"/>
    <xf numFmtId="0" fontId="15" fillId="8" borderId="0" xfId="0" applyFont="1" applyFill="1" applyBorder="1"/>
    <xf numFmtId="0" fontId="13" fillId="8" borderId="0" xfId="0" applyFont="1" applyFill="1" applyBorder="1"/>
    <xf numFmtId="0" fontId="12" fillId="8" borderId="0" xfId="0" applyFont="1" applyFill="1" applyBorder="1"/>
    <xf numFmtId="4" fontId="50" fillId="0" borderId="52" xfId="7" applyNumberFormat="1" applyFont="1" applyFill="1" applyBorder="1" applyAlignment="1">
      <alignment vertical="center" wrapText="1"/>
    </xf>
    <xf numFmtId="4" fontId="50" fillId="0" borderId="56" xfId="7" applyNumberFormat="1" applyFont="1" applyFill="1" applyBorder="1" applyAlignment="1">
      <alignment vertical="center" wrapText="1"/>
    </xf>
    <xf numFmtId="4" fontId="47" fillId="8" borderId="0" xfId="0" applyNumberFormat="1" applyFont="1" applyFill="1" applyBorder="1"/>
    <xf numFmtId="0" fontId="26" fillId="8" borderId="0" xfId="0" applyFont="1" applyFill="1" applyBorder="1" applyAlignment="1">
      <alignment vertical="center" wrapText="1"/>
    </xf>
    <xf numFmtId="0" fontId="20" fillId="8" borderId="0" xfId="0" applyFont="1" applyFill="1" applyBorder="1" applyAlignment="1">
      <alignment vertical="center" wrapText="1"/>
    </xf>
    <xf numFmtId="0" fontId="20" fillId="8" borderId="0" xfId="0" applyFont="1" applyFill="1" applyBorder="1" applyAlignment="1">
      <alignment horizontal="justify" vertical="center" wrapText="1"/>
    </xf>
    <xf numFmtId="0" fontId="20" fillId="8" borderId="0" xfId="0" applyFont="1" applyFill="1" applyBorder="1" applyAlignment="1">
      <alignment horizontal="center" vertical="center" wrapText="1"/>
    </xf>
    <xf numFmtId="0" fontId="2" fillId="8" borderId="0" xfId="0" applyFont="1" applyFill="1" applyBorder="1" applyAlignment="1">
      <alignment horizontal="justify" vertical="center" wrapText="1"/>
    </xf>
    <xf numFmtId="0" fontId="2" fillId="8" borderId="0" xfId="0" applyFont="1" applyFill="1" applyBorder="1" applyAlignment="1">
      <alignment horizontal="center" vertical="center" wrapText="1"/>
    </xf>
    <xf numFmtId="4" fontId="14" fillId="8" borderId="0" xfId="0" applyNumberFormat="1" applyFont="1" applyFill="1" applyBorder="1"/>
    <xf numFmtId="0" fontId="44" fillId="8" borderId="0" xfId="0" applyFont="1" applyFill="1" applyBorder="1" applyAlignment="1">
      <alignment vertical="center" wrapText="1"/>
    </xf>
    <xf numFmtId="0" fontId="45" fillId="8" borderId="0" xfId="0" applyFont="1" applyFill="1" applyBorder="1" applyAlignment="1">
      <alignment vertical="top" wrapText="1"/>
    </xf>
    <xf numFmtId="0" fontId="24" fillId="8" borderId="0" xfId="0" applyFont="1" applyFill="1" applyBorder="1" applyAlignment="1">
      <alignment vertical="top" wrapText="1"/>
    </xf>
    <xf numFmtId="0" fontId="1" fillId="8" borderId="0" xfId="0" applyFont="1" applyFill="1" applyBorder="1" applyAlignment="1">
      <alignment vertical="top" wrapText="1"/>
    </xf>
    <xf numFmtId="4" fontId="50" fillId="8" borderId="0" xfId="7" applyNumberFormat="1" applyFont="1" applyFill="1" applyBorder="1" applyAlignment="1">
      <alignment vertical="center" wrapText="1"/>
    </xf>
    <xf numFmtId="3" fontId="32" fillId="2" borderId="52" xfId="0" applyNumberFormat="1" applyFont="1" applyFill="1" applyBorder="1" applyAlignment="1">
      <alignment horizontal="center" vertical="center" wrapText="1"/>
    </xf>
    <xf numFmtId="0" fontId="52" fillId="8" borderId="0" xfId="0" applyFont="1" applyFill="1" applyBorder="1" applyAlignment="1">
      <alignment vertical="top" wrapText="1"/>
    </xf>
    <xf numFmtId="3" fontId="18" fillId="8" borderId="0" xfId="0" applyNumberFormat="1" applyFont="1" applyFill="1" applyBorder="1" applyAlignment="1">
      <alignment wrapText="1"/>
    </xf>
    <xf numFmtId="4" fontId="2" fillId="8" borderId="0" xfId="0" applyNumberFormat="1" applyFont="1" applyFill="1"/>
    <xf numFmtId="0" fontId="53" fillId="8" borderId="0" xfId="0" applyFont="1" applyFill="1"/>
    <xf numFmtId="3" fontId="49" fillId="2" borderId="52" xfId="7" applyNumberFormat="1" applyFont="1" applyFill="1" applyBorder="1" applyAlignment="1">
      <alignment horizontal="center" vertical="center" wrapText="1"/>
    </xf>
    <xf numFmtId="4" fontId="25" fillId="15" borderId="52" xfId="7" applyNumberFormat="1" applyFont="1" applyFill="1" applyBorder="1" applyAlignment="1">
      <alignment vertical="top" wrapText="1"/>
    </xf>
    <xf numFmtId="9" fontId="25" fillId="15" borderId="54" xfId="0" applyNumberFormat="1" applyFont="1" applyFill="1" applyBorder="1" applyAlignment="1">
      <alignment horizontal="right" vertical="top" wrapText="1"/>
    </xf>
    <xf numFmtId="4" fontId="49" fillId="0" borderId="52" xfId="7" applyNumberFormat="1" applyFont="1" applyFill="1" applyBorder="1" applyAlignment="1">
      <alignment vertical="center" wrapText="1"/>
    </xf>
    <xf numFmtId="4" fontId="19" fillId="10" borderId="1" xfId="0" applyNumberFormat="1" applyFont="1" applyFill="1" applyBorder="1" applyAlignment="1">
      <alignment vertical="distributed"/>
    </xf>
    <xf numFmtId="4" fontId="20" fillId="17" borderId="1" xfId="0" applyNumberFormat="1" applyFont="1" applyFill="1" applyBorder="1" applyAlignment="1">
      <alignment vertical="distributed"/>
    </xf>
    <xf numFmtId="3" fontId="18" fillId="8" borderId="0" xfId="0" applyNumberFormat="1" applyFont="1" applyFill="1" applyBorder="1" applyAlignment="1">
      <alignment horizontal="center" wrapText="1"/>
    </xf>
    <xf numFmtId="9" fontId="18" fillId="8" borderId="0" xfId="7" applyFont="1" applyFill="1" applyBorder="1" applyAlignment="1">
      <alignment wrapText="1"/>
    </xf>
    <xf numFmtId="3" fontId="25" fillId="8" borderId="0" xfId="0" applyNumberFormat="1" applyFont="1" applyFill="1" applyBorder="1" applyAlignment="1">
      <alignment wrapText="1"/>
    </xf>
    <xf numFmtId="4" fontId="18" fillId="15" borderId="52" xfId="0" applyNumberFormat="1" applyFont="1" applyFill="1" applyBorder="1" applyAlignment="1">
      <alignment vertical="top" wrapText="1"/>
    </xf>
    <xf numFmtId="173" fontId="29" fillId="0" borderId="19" xfId="0" applyNumberFormat="1" applyFont="1" applyBorder="1" applyAlignment="1">
      <alignment horizontal="center" vertical="center" wrapText="1"/>
    </xf>
    <xf numFmtId="173" fontId="29" fillId="0" borderId="19" xfId="7" applyNumberFormat="1" applyFont="1" applyBorder="1" applyAlignment="1">
      <alignment horizontal="center" vertical="center" wrapText="1"/>
    </xf>
    <xf numFmtId="3" fontId="24" fillId="15" borderId="1" xfId="0" applyNumberFormat="1" applyFont="1" applyFill="1" applyBorder="1" applyAlignment="1">
      <alignment horizontal="center" vertical="center" wrapText="1"/>
    </xf>
    <xf numFmtId="3" fontId="55" fillId="10" borderId="1" xfId="0" applyNumberFormat="1" applyFont="1" applyFill="1" applyBorder="1" applyAlignment="1">
      <alignment vertical="distributed"/>
    </xf>
    <xf numFmtId="3" fontId="54" fillId="8" borderId="0" xfId="0" applyNumberFormat="1" applyFont="1" applyFill="1" applyBorder="1" applyAlignment="1">
      <alignment horizontal="right"/>
    </xf>
    <xf numFmtId="3" fontId="56" fillId="8" borderId="0" xfId="0" applyNumberFormat="1" applyFont="1" applyFill="1" applyBorder="1" applyAlignment="1">
      <alignment horizontal="right"/>
    </xf>
    <xf numFmtId="3" fontId="56" fillId="8" borderId="0" xfId="0" applyNumberFormat="1" applyFont="1" applyFill="1" applyAlignment="1">
      <alignment horizontal="right"/>
    </xf>
    <xf numFmtId="3" fontId="54" fillId="8" borderId="0" xfId="0" applyNumberFormat="1" applyFont="1" applyFill="1" applyAlignment="1">
      <alignment horizontal="right"/>
    </xf>
    <xf numFmtId="3" fontId="3" fillId="16" borderId="51" xfId="0" applyNumberFormat="1" applyFont="1" applyFill="1" applyBorder="1" applyAlignment="1">
      <alignment vertical="top" wrapText="1"/>
    </xf>
    <xf numFmtId="3" fontId="23" fillId="16" borderId="52" xfId="0" applyNumberFormat="1" applyFont="1" applyFill="1" applyBorder="1" applyAlignment="1">
      <alignment horizontal="left" vertical="top" wrapText="1"/>
    </xf>
    <xf numFmtId="3" fontId="1" fillId="16" borderId="52" xfId="7" applyNumberFormat="1" applyFont="1" applyFill="1" applyBorder="1" applyAlignment="1">
      <alignment horizontal="center" vertical="top" wrapText="1"/>
    </xf>
    <xf numFmtId="3" fontId="1" fillId="16" borderId="52" xfId="0" applyNumberFormat="1" applyFont="1" applyFill="1" applyBorder="1" applyAlignment="1">
      <alignment vertical="top" wrapText="1"/>
    </xf>
    <xf numFmtId="9" fontId="1" fillId="16" borderId="52" xfId="7" applyFont="1" applyFill="1" applyBorder="1" applyAlignment="1">
      <alignment vertical="top" wrapText="1"/>
    </xf>
    <xf numFmtId="3" fontId="23" fillId="16" borderId="52" xfId="0" applyNumberFormat="1" applyFont="1" applyFill="1" applyBorder="1" applyAlignment="1">
      <alignment vertical="top" wrapText="1"/>
    </xf>
    <xf numFmtId="4" fontId="3" fillId="0" borderId="52" xfId="7" applyNumberFormat="1" applyFont="1" applyFill="1" applyBorder="1" applyAlignment="1">
      <alignment vertical="center" wrapText="1"/>
    </xf>
    <xf numFmtId="3" fontId="3" fillId="16" borderId="51" xfId="0" applyNumberFormat="1" applyFont="1" applyFill="1" applyBorder="1" applyAlignment="1">
      <alignment horizontal="left" vertical="top" wrapText="1"/>
    </xf>
    <xf numFmtId="3" fontId="1" fillId="16" borderId="52" xfId="0" applyNumberFormat="1" applyFont="1" applyFill="1" applyBorder="1" applyAlignment="1">
      <alignment horizontal="left" vertical="top" wrapText="1"/>
    </xf>
    <xf numFmtId="4" fontId="3" fillId="8" borderId="52" xfId="7" applyNumberFormat="1" applyFont="1" applyFill="1" applyBorder="1" applyAlignment="1">
      <alignment vertical="center" wrapText="1"/>
    </xf>
    <xf numFmtId="3" fontId="1" fillId="16" borderId="52" xfId="0" applyNumberFormat="1" applyFont="1" applyFill="1" applyBorder="1" applyAlignment="1">
      <alignment horizontal="center" vertical="top" wrapText="1"/>
    </xf>
    <xf numFmtId="9" fontId="1" fillId="16" borderId="52" xfId="0" applyNumberFormat="1" applyFont="1" applyFill="1" applyBorder="1" applyAlignment="1">
      <alignment vertical="top" wrapText="1"/>
    </xf>
    <xf numFmtId="4" fontId="1" fillId="16" borderId="52" xfId="7" applyNumberFormat="1" applyFont="1" applyFill="1" applyBorder="1" applyAlignment="1">
      <alignment horizontal="center" vertical="top" wrapText="1"/>
    </xf>
    <xf numFmtId="3" fontId="23" fillId="15" borderId="52" xfId="0" applyNumberFormat="1" applyFont="1" applyFill="1" applyBorder="1" applyAlignment="1">
      <alignment horizontal="left" vertical="top" wrapText="1"/>
    </xf>
    <xf numFmtId="3" fontId="1" fillId="15" borderId="52" xfId="0" applyNumberFormat="1" applyFont="1" applyFill="1" applyBorder="1" applyAlignment="1">
      <alignment horizontal="center" vertical="top" wrapText="1"/>
    </xf>
    <xf numFmtId="3" fontId="1" fillId="15" borderId="52" xfId="0" applyNumberFormat="1" applyFont="1" applyFill="1" applyBorder="1" applyAlignment="1">
      <alignment vertical="top" wrapText="1"/>
    </xf>
    <xf numFmtId="3" fontId="23" fillId="15" borderId="52" xfId="0" applyNumberFormat="1" applyFont="1" applyFill="1" applyBorder="1" applyAlignment="1">
      <alignment vertical="top" wrapText="1"/>
    </xf>
    <xf numFmtId="3" fontId="3" fillId="15" borderId="52" xfId="0" applyNumberFormat="1" applyFont="1" applyFill="1" applyBorder="1" applyAlignment="1">
      <alignment horizontal="left" vertical="top" wrapText="1"/>
    </xf>
    <xf numFmtId="0" fontId="1" fillId="16" borderId="52" xfId="0" applyFont="1" applyFill="1" applyBorder="1" applyAlignment="1">
      <alignment vertical="top" wrapText="1"/>
    </xf>
    <xf numFmtId="0" fontId="57" fillId="8" borderId="0" xfId="0" applyFont="1" applyFill="1" applyBorder="1" applyAlignment="1">
      <alignment vertical="top" wrapText="1"/>
    </xf>
    <xf numFmtId="4" fontId="50" fillId="0" borderId="1" xfId="7" applyNumberFormat="1" applyFont="1" applyFill="1" applyBorder="1" applyAlignment="1">
      <alignment vertical="center" wrapText="1"/>
    </xf>
    <xf numFmtId="0" fontId="33" fillId="21" borderId="1" xfId="0" applyFont="1" applyFill="1" applyBorder="1" applyAlignment="1">
      <alignment vertical="center" wrapText="1"/>
    </xf>
    <xf numFmtId="0" fontId="33" fillId="22" borderId="1" xfId="0" applyFont="1" applyFill="1" applyBorder="1" applyAlignment="1">
      <alignment vertical="center" wrapText="1"/>
    </xf>
    <xf numFmtId="3" fontId="0" fillId="8" borderId="0" xfId="0" applyNumberFormat="1" applyFont="1" applyFill="1"/>
    <xf numFmtId="3" fontId="0" fillId="8" borderId="0" xfId="0" applyNumberFormat="1" applyFont="1" applyFill="1" applyBorder="1" applyAlignment="1">
      <alignment horizontal="right" vertical="center" wrapText="1"/>
    </xf>
    <xf numFmtId="3" fontId="6" fillId="8" borderId="0" xfId="0" applyNumberFormat="1" applyFont="1" applyFill="1" applyBorder="1" applyAlignment="1">
      <alignment horizontal="right" vertical="center" wrapText="1"/>
    </xf>
    <xf numFmtId="0" fontId="0" fillId="8" borderId="0" xfId="0" applyFont="1" applyFill="1" applyAlignment="1">
      <alignment horizontal="left"/>
    </xf>
    <xf numFmtId="3" fontId="0" fillId="8" borderId="0" xfId="0" applyNumberFormat="1" applyFont="1" applyFill="1" applyBorder="1" applyAlignment="1">
      <alignment horizontal="left" vertical="center" wrapText="1"/>
    </xf>
    <xf numFmtId="3" fontId="6" fillId="8" borderId="0" xfId="0" applyNumberFormat="1" applyFont="1" applyFill="1" applyBorder="1" applyAlignment="1">
      <alignment horizontal="left" vertical="center" wrapText="1"/>
    </xf>
    <xf numFmtId="0" fontId="28" fillId="0" borderId="35"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3" xfId="0" applyFont="1" applyBorder="1" applyAlignment="1">
      <alignment horizontal="justify" vertical="center" wrapText="1"/>
    </xf>
    <xf numFmtId="0" fontId="28" fillId="0" borderId="38" xfId="0" applyFont="1" applyBorder="1" applyAlignment="1">
      <alignment horizontal="justify" vertical="center" wrapText="1"/>
    </xf>
    <xf numFmtId="0" fontId="28" fillId="0" borderId="35" xfId="0" applyFont="1" applyBorder="1" applyAlignment="1">
      <alignment horizontal="justify" vertical="center" wrapText="1"/>
    </xf>
    <xf numFmtId="0" fontId="0" fillId="0" borderId="34" xfId="0" applyBorder="1" applyAlignment="1">
      <alignment vertical="center" wrapText="1"/>
    </xf>
    <xf numFmtId="0" fontId="0" fillId="0" borderId="33" xfId="0" applyBorder="1" applyAlignment="1">
      <alignment vertical="center" wrapText="1"/>
    </xf>
    <xf numFmtId="3" fontId="3" fillId="8" borderId="1" xfId="0" applyNumberFormat="1" applyFont="1" applyFill="1" applyBorder="1" applyAlignment="1">
      <alignment wrapText="1"/>
    </xf>
    <xf numFmtId="174" fontId="29" fillId="0" borderId="19" xfId="0" applyNumberFormat="1" applyFont="1" applyBorder="1" applyAlignment="1">
      <alignment horizontal="center" vertical="center" wrapText="1"/>
    </xf>
    <xf numFmtId="174" fontId="28" fillId="0" borderId="19" xfId="7" applyNumberFormat="1" applyFont="1" applyBorder="1" applyAlignment="1">
      <alignment horizontal="center" vertical="center" wrapText="1"/>
    </xf>
    <xf numFmtId="3" fontId="2" fillId="8" borderId="0" xfId="0" applyNumberFormat="1" applyFont="1" applyFill="1"/>
    <xf numFmtId="0" fontId="20" fillId="8" borderId="0" xfId="0" applyFont="1" applyFill="1" applyAlignment="1">
      <alignment horizontal="right"/>
    </xf>
    <xf numFmtId="3" fontId="20" fillId="8" borderId="0" xfId="0" applyNumberFormat="1" applyFont="1" applyFill="1"/>
    <xf numFmtId="175" fontId="20" fillId="8" borderId="0" xfId="7" applyNumberFormat="1" applyFont="1" applyFill="1"/>
    <xf numFmtId="0" fontId="38" fillId="0" borderId="1" xfId="0" applyNumberFormat="1" applyFont="1" applyBorder="1" applyAlignment="1">
      <alignment horizontal="center" vertical="center" wrapText="1"/>
    </xf>
    <xf numFmtId="0" fontId="59" fillId="0" borderId="1" xfId="0" applyFont="1" applyBorder="1" applyAlignment="1">
      <alignment horizontal="left" vertical="center" wrapText="1"/>
    </xf>
    <xf numFmtId="2" fontId="59" fillId="0" borderId="1" xfId="0" applyNumberFormat="1" applyFont="1" applyBorder="1" applyAlignment="1">
      <alignment horizontal="right" vertical="center" wrapText="1"/>
    </xf>
    <xf numFmtId="3" fontId="59" fillId="0" borderId="1" xfId="0" applyNumberFormat="1" applyFont="1" applyBorder="1" applyAlignment="1">
      <alignment horizontal="right" vertical="center" wrapText="1"/>
    </xf>
    <xf numFmtId="3" fontId="59" fillId="20" borderId="1" xfId="0" applyNumberFormat="1" applyFont="1" applyFill="1" applyBorder="1" applyAlignment="1">
      <alignment horizontal="right" vertical="center" wrapText="1"/>
    </xf>
    <xf numFmtId="3" fontId="59" fillId="18" borderId="1" xfId="0" applyNumberFormat="1" applyFont="1" applyFill="1" applyBorder="1" applyAlignment="1">
      <alignment horizontal="right" vertical="center" wrapText="1"/>
    </xf>
    <xf numFmtId="0" fontId="58" fillId="0" borderId="1" xfId="0" applyFont="1" applyBorder="1" applyAlignment="1">
      <alignment horizontal="left" vertical="center" wrapText="1"/>
    </xf>
    <xf numFmtId="4" fontId="58" fillId="0" borderId="1" xfId="0" applyNumberFormat="1" applyFont="1" applyBorder="1" applyAlignment="1">
      <alignment horizontal="right" vertical="center" wrapText="1"/>
    </xf>
    <xf numFmtId="3" fontId="58" fillId="0" borderId="1" xfId="0" applyNumberFormat="1" applyFont="1" applyBorder="1" applyAlignment="1">
      <alignment horizontal="right" vertical="center" wrapText="1"/>
    </xf>
    <xf numFmtId="0" fontId="32" fillId="8" borderId="1" xfId="0" applyFont="1" applyFill="1" applyBorder="1" applyAlignment="1">
      <alignment vertical="center"/>
    </xf>
    <xf numFmtId="0" fontId="60" fillId="8" borderId="1" xfId="0" applyFont="1" applyFill="1" applyBorder="1"/>
    <xf numFmtId="10" fontId="32" fillId="8" borderId="1" xfId="7" applyNumberFormat="1" applyFont="1" applyFill="1" applyBorder="1" applyAlignment="1">
      <alignment vertical="center"/>
    </xf>
    <xf numFmtId="0" fontId="2" fillId="8" borderId="0" xfId="0" applyFont="1" applyFill="1" applyAlignment="1">
      <alignment horizontal="right"/>
    </xf>
    <xf numFmtId="176" fontId="2" fillId="8" borderId="0" xfId="0" applyNumberFormat="1" applyFont="1" applyFill="1"/>
    <xf numFmtId="3" fontId="24" fillId="16" borderId="52" xfId="7" applyNumberFormat="1" applyFont="1" applyFill="1" applyBorder="1" applyAlignment="1">
      <alignment horizontal="center" vertical="top" wrapText="1"/>
    </xf>
    <xf numFmtId="3" fontId="52" fillId="16" borderId="52" xfId="0" applyNumberFormat="1" applyFont="1" applyFill="1" applyBorder="1" applyAlignment="1">
      <alignment vertical="top" wrapText="1"/>
    </xf>
    <xf numFmtId="3" fontId="61" fillId="16" borderId="52" xfId="0" applyNumberFormat="1" applyFont="1" applyFill="1" applyBorder="1" applyAlignment="1">
      <alignment vertical="top" wrapText="1"/>
    </xf>
    <xf numFmtId="3" fontId="52" fillId="16" borderId="52" xfId="0" applyNumberFormat="1" applyFont="1" applyFill="1" applyBorder="1" applyAlignment="1">
      <alignment horizontal="left" vertical="top" wrapText="1"/>
    </xf>
    <xf numFmtId="0" fontId="62" fillId="10" borderId="1" xfId="0" applyFont="1" applyFill="1" applyBorder="1" applyAlignment="1">
      <alignment vertical="center" wrapText="1"/>
    </xf>
    <xf numFmtId="9" fontId="52" fillId="16" borderId="52" xfId="0" applyNumberFormat="1" applyFont="1" applyFill="1" applyBorder="1" applyAlignment="1">
      <alignment vertical="top" wrapText="1"/>
    </xf>
    <xf numFmtId="3" fontId="63" fillId="16" borderId="51" xfId="0" applyNumberFormat="1" applyFont="1" applyFill="1" applyBorder="1" applyAlignment="1">
      <alignment horizontal="left" vertical="top" wrapText="1"/>
    </xf>
    <xf numFmtId="3" fontId="55" fillId="10" borderId="1" xfId="0" applyNumberFormat="1" applyFont="1" applyFill="1" applyBorder="1" applyAlignment="1">
      <alignment vertical="distributed" wrapText="1"/>
    </xf>
    <xf numFmtId="4" fontId="33" fillId="10" borderId="1" xfId="0" applyNumberFormat="1" applyFont="1" applyFill="1" applyBorder="1" applyAlignment="1">
      <alignment vertical="center" wrapText="1"/>
    </xf>
    <xf numFmtId="4" fontId="62" fillId="10" borderId="1" xfId="0" applyNumberFormat="1" applyFont="1" applyFill="1" applyBorder="1" applyAlignment="1">
      <alignment vertical="center" wrapText="1"/>
    </xf>
    <xf numFmtId="0" fontId="18" fillId="2" borderId="52" xfId="0" applyFont="1" applyFill="1" applyBorder="1" applyAlignment="1">
      <alignment horizontal="center" vertical="top" wrapText="1"/>
    </xf>
    <xf numFmtId="3" fontId="18" fillId="16" borderId="52" xfId="0" applyNumberFormat="1" applyFont="1" applyFill="1" applyBorder="1" applyAlignment="1">
      <alignment horizontal="center" vertical="top" wrapText="1"/>
    </xf>
    <xf numFmtId="3" fontId="24" fillId="16" borderId="52" xfId="0" applyNumberFormat="1" applyFont="1" applyFill="1" applyBorder="1" applyAlignment="1">
      <alignment horizontal="center" vertical="top" wrapText="1"/>
    </xf>
    <xf numFmtId="3" fontId="64" fillId="17" borderId="1" xfId="0" applyNumberFormat="1" applyFont="1" applyFill="1" applyBorder="1" applyAlignment="1">
      <alignment vertical="distributed"/>
    </xf>
    <xf numFmtId="3" fontId="24" fillId="10" borderId="1" xfId="0" applyNumberFormat="1" applyFont="1" applyFill="1" applyBorder="1" applyAlignment="1">
      <alignment vertical="distributed" wrapText="1"/>
    </xf>
    <xf numFmtId="177" fontId="49" fillId="0" borderId="52" xfId="7" applyNumberFormat="1" applyFont="1" applyFill="1" applyBorder="1" applyAlignment="1">
      <alignment vertical="center" wrapText="1"/>
    </xf>
    <xf numFmtId="4" fontId="1" fillId="8" borderId="0" xfId="0" applyNumberFormat="1" applyFont="1" applyFill="1" applyBorder="1" applyAlignment="1">
      <alignment wrapText="1"/>
    </xf>
    <xf numFmtId="4" fontId="32" fillId="2" borderId="50" xfId="0" applyNumberFormat="1" applyFont="1" applyFill="1" applyBorder="1" applyAlignment="1">
      <alignment horizontal="center" vertical="center" wrapText="1"/>
    </xf>
    <xf numFmtId="4" fontId="23" fillId="2" borderId="52" xfId="0" applyNumberFormat="1" applyFont="1" applyFill="1" applyBorder="1" applyAlignment="1">
      <alignment horizontal="center" vertical="top" wrapText="1"/>
    </xf>
    <xf numFmtId="3" fontId="1" fillId="8" borderId="1" xfId="0" applyNumberFormat="1" applyFont="1" applyFill="1" applyBorder="1" applyAlignment="1">
      <alignment wrapText="1"/>
    </xf>
    <xf numFmtId="3" fontId="3" fillId="8" borderId="0" xfId="0" applyNumberFormat="1" applyFont="1" applyFill="1" applyBorder="1" applyAlignment="1">
      <alignment wrapText="1"/>
    </xf>
    <xf numFmtId="3" fontId="25" fillId="15" borderId="51" xfId="0" applyNumberFormat="1" applyFont="1" applyFill="1" applyBorder="1" applyAlignment="1">
      <alignment horizontal="left" vertical="top" wrapText="1"/>
    </xf>
    <xf numFmtId="4" fontId="18" fillId="15" borderId="1" xfId="0" applyNumberFormat="1" applyFont="1" applyFill="1" applyBorder="1" applyAlignment="1">
      <alignment horizontal="center" vertical="top" wrapText="1"/>
    </xf>
    <xf numFmtId="3" fontId="25" fillId="16" borderId="52" xfId="0" applyNumberFormat="1" applyFont="1" applyFill="1" applyBorder="1" applyAlignment="1">
      <alignment horizontal="center" vertical="top" wrapText="1"/>
    </xf>
    <xf numFmtId="3" fontId="18" fillId="16" borderId="56" xfId="0" applyNumberFormat="1" applyFont="1" applyFill="1" applyBorder="1" applyAlignment="1">
      <alignment horizontal="center" vertical="top" wrapText="1"/>
    </xf>
    <xf numFmtId="4" fontId="49" fillId="2" borderId="52" xfId="7" applyNumberFormat="1" applyFont="1" applyFill="1" applyBorder="1" applyAlignment="1">
      <alignment vertical="center" wrapText="1"/>
    </xf>
    <xf numFmtId="4" fontId="49" fillId="2" borderId="56" xfId="7" applyNumberFormat="1" applyFont="1" applyFill="1" applyBorder="1" applyAlignment="1">
      <alignment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38" xfId="0" applyFont="1" applyBorder="1" applyAlignment="1">
      <alignment horizontal="center" vertical="center"/>
    </xf>
    <xf numFmtId="0" fontId="2" fillId="20" borderId="0" xfId="0" applyFont="1" applyFill="1" applyAlignment="1">
      <alignment horizontal="center" vertical="top" wrapText="1"/>
    </xf>
    <xf numFmtId="0" fontId="16" fillId="0" borderId="1" xfId="0" applyFont="1" applyBorder="1" applyAlignment="1">
      <alignment horizontal="center" vertical="center"/>
    </xf>
    <xf numFmtId="0" fontId="58" fillId="0" borderId="1" xfId="0" applyNumberFormat="1" applyFont="1" applyBorder="1" applyAlignment="1">
      <alignment horizontal="center" vertical="center" wrapText="1"/>
    </xf>
    <xf numFmtId="0" fontId="58" fillId="0" borderId="1" xfId="0" applyNumberFormat="1" applyFont="1" applyBorder="1" applyAlignment="1" applyProtection="1">
      <alignment horizontal="center" vertical="center"/>
      <protection locked="0"/>
    </xf>
    <xf numFmtId="0" fontId="58" fillId="0" borderId="1" xfId="0" applyNumberFormat="1" applyFont="1" applyFill="1" applyBorder="1" applyAlignment="1">
      <alignment horizontal="center" vertical="center" wrapText="1"/>
    </xf>
    <xf numFmtId="0" fontId="58" fillId="0" borderId="1" xfId="0" applyFont="1" applyBorder="1" applyAlignment="1">
      <alignment horizontal="center" vertical="center" wrapText="1"/>
    </xf>
    <xf numFmtId="10" fontId="32" fillId="8" borderId="11" xfId="7" applyNumberFormat="1" applyFont="1" applyFill="1" applyBorder="1" applyAlignment="1">
      <alignment horizontal="center" vertical="center"/>
    </xf>
    <xf numFmtId="10" fontId="32" fillId="8" borderId="5" xfId="7" applyNumberFormat="1" applyFont="1" applyFill="1" applyBorder="1"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5" xfId="0" applyFont="1" applyBorder="1" applyAlignment="1">
      <alignment horizontal="justify" vertical="center" wrapText="1"/>
    </xf>
    <xf numFmtId="0" fontId="0" fillId="0" borderId="34" xfId="0" applyBorder="1" applyAlignment="1">
      <alignment vertical="center" wrapText="1"/>
    </xf>
    <xf numFmtId="0" fontId="0" fillId="0" borderId="33" xfId="0" applyBorder="1" applyAlignment="1">
      <alignment vertical="center" wrapText="1"/>
    </xf>
    <xf numFmtId="0" fontId="28" fillId="0" borderId="32" xfId="0" applyFont="1" applyBorder="1" applyAlignment="1">
      <alignment horizontal="justify" vertical="center" wrapText="1"/>
    </xf>
    <xf numFmtId="0" fontId="28" fillId="0" borderId="42" xfId="0" applyFont="1" applyBorder="1" applyAlignment="1">
      <alignment horizontal="justify" vertical="center" wrapText="1"/>
    </xf>
    <xf numFmtId="0" fontId="28" fillId="0" borderId="20" xfId="0" applyFont="1" applyBorder="1" applyAlignment="1">
      <alignment horizontal="justify" vertical="center" wrapText="1"/>
    </xf>
    <xf numFmtId="0" fontId="28" fillId="0" borderId="39" xfId="0" applyFont="1" applyBorder="1" applyAlignment="1">
      <alignment horizontal="justify" vertical="center" wrapText="1"/>
    </xf>
    <xf numFmtId="0" fontId="28" fillId="0" borderId="40" xfId="0" applyFont="1" applyBorder="1" applyAlignment="1">
      <alignment horizontal="justify" vertical="center" wrapText="1"/>
    </xf>
    <xf numFmtId="0" fontId="28" fillId="0" borderId="41" xfId="0" applyFont="1" applyBorder="1" applyAlignment="1">
      <alignment horizontal="justify" vertical="center" wrapText="1"/>
    </xf>
    <xf numFmtId="0" fontId="28" fillId="0" borderId="43" xfId="0" applyFont="1" applyBorder="1" applyAlignment="1">
      <alignment horizontal="justify" vertical="center" wrapText="1"/>
    </xf>
    <xf numFmtId="0" fontId="28" fillId="0" borderId="44" xfId="0" applyFont="1" applyBorder="1" applyAlignment="1">
      <alignment horizontal="justify" vertical="center" wrapText="1"/>
    </xf>
    <xf numFmtId="0" fontId="28" fillId="0" borderId="13" xfId="0" applyFont="1" applyBorder="1" applyAlignment="1">
      <alignment horizontal="justify" vertical="center" wrapText="1"/>
    </xf>
    <xf numFmtId="0" fontId="28" fillId="0" borderId="38" xfId="0" applyFont="1" applyBorder="1" applyAlignment="1">
      <alignment horizontal="justify" vertical="center" wrapText="1"/>
    </xf>
    <xf numFmtId="0" fontId="28" fillId="0" borderId="45" xfId="0" applyFont="1" applyBorder="1" applyAlignment="1">
      <alignment horizontal="justify" vertical="center" wrapText="1"/>
    </xf>
    <xf numFmtId="0" fontId="28" fillId="0" borderId="46" xfId="0" applyFont="1" applyBorder="1" applyAlignment="1">
      <alignment horizontal="justify" vertical="center" wrapText="1"/>
    </xf>
    <xf numFmtId="0" fontId="7" fillId="6" borderId="20" xfId="2" applyFont="1" applyFill="1" applyBorder="1" applyAlignment="1">
      <alignment horizontal="center" vertical="top" wrapText="1"/>
    </xf>
    <xf numFmtId="0" fontId="7" fillId="6" borderId="0" xfId="2" applyFont="1" applyFill="1" applyBorder="1" applyAlignment="1">
      <alignment horizontal="center" vertical="top" wrapText="1"/>
    </xf>
    <xf numFmtId="0" fontId="7" fillId="6" borderId="21" xfId="2" applyFont="1" applyFill="1" applyBorder="1" applyAlignment="1">
      <alignment horizontal="center" vertical="top" wrapText="1"/>
    </xf>
    <xf numFmtId="0" fontId="7" fillId="3" borderId="13" xfId="2" applyFont="1" applyFill="1" applyBorder="1" applyAlignment="1">
      <alignment horizontal="center" wrapText="1"/>
    </xf>
    <xf numFmtId="0" fontId="7" fillId="3" borderId="14" xfId="2" applyFont="1" applyFill="1" applyBorder="1" applyAlignment="1">
      <alignment horizontal="center" wrapText="1"/>
    </xf>
    <xf numFmtId="0" fontId="7" fillId="3" borderId="15" xfId="2" applyFont="1" applyFill="1" applyBorder="1" applyAlignment="1">
      <alignment horizontal="center" wrapText="1"/>
    </xf>
    <xf numFmtId="0" fontId="7" fillId="4" borderId="13" xfId="2" applyFont="1" applyFill="1" applyBorder="1" applyAlignment="1">
      <alignment horizontal="center"/>
    </xf>
    <xf numFmtId="0" fontId="7" fillId="4" borderId="14" xfId="2" applyFont="1" applyFill="1" applyBorder="1" applyAlignment="1">
      <alignment horizontal="center"/>
    </xf>
    <xf numFmtId="0" fontId="7" fillId="4" borderId="15" xfId="2" applyFont="1" applyFill="1" applyBorder="1" applyAlignment="1">
      <alignment horizontal="center"/>
    </xf>
    <xf numFmtId="0" fontId="7" fillId="6" borderId="1" xfId="2" applyFont="1" applyFill="1" applyBorder="1" applyAlignment="1">
      <alignment horizontal="center" vertical="center" wrapText="1"/>
    </xf>
    <xf numFmtId="0" fontId="7" fillId="6" borderId="17" xfId="2" applyFont="1" applyFill="1" applyBorder="1" applyAlignment="1">
      <alignment horizontal="center" vertical="center" wrapText="1"/>
    </xf>
    <xf numFmtId="0" fontId="7" fillId="6" borderId="18" xfId="2" applyFont="1" applyFill="1" applyBorder="1" applyAlignment="1">
      <alignment horizontal="center" vertical="center" wrapText="1"/>
    </xf>
    <xf numFmtId="0" fontId="7" fillId="6" borderId="19" xfId="2"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20" fillId="15" borderId="2" xfId="0" applyFont="1" applyFill="1" applyBorder="1" applyAlignment="1">
      <alignment horizontal="left" vertical="center" wrapText="1"/>
    </xf>
    <xf numFmtId="0" fontId="20" fillId="15" borderId="4" xfId="0" applyFont="1" applyFill="1" applyBorder="1" applyAlignment="1">
      <alignment horizontal="left" vertical="center" wrapText="1"/>
    </xf>
    <xf numFmtId="3" fontId="20" fillId="17" borderId="11" xfId="0" applyNumberFormat="1" applyFont="1" applyFill="1" applyBorder="1" applyAlignment="1">
      <alignment horizontal="center"/>
    </xf>
    <xf numFmtId="3" fontId="20" fillId="17" borderId="58" xfId="0" applyNumberFormat="1" applyFont="1" applyFill="1" applyBorder="1" applyAlignment="1">
      <alignment horizontal="center"/>
    </xf>
    <xf numFmtId="3" fontId="20" fillId="17" borderId="5" xfId="0" applyNumberFormat="1" applyFont="1" applyFill="1" applyBorder="1" applyAlignment="1">
      <alignment horizontal="center"/>
    </xf>
    <xf numFmtId="3" fontId="20" fillId="17" borderId="11" xfId="0" applyNumberFormat="1" applyFont="1" applyFill="1" applyBorder="1" applyAlignment="1">
      <alignment horizontal="center" wrapText="1"/>
    </xf>
    <xf numFmtId="3" fontId="20" fillId="17" borderId="58" xfId="0" applyNumberFormat="1" applyFont="1" applyFill="1" applyBorder="1" applyAlignment="1">
      <alignment horizontal="center" wrapText="1"/>
    </xf>
    <xf numFmtId="3" fontId="20" fillId="17" borderId="5" xfId="0" applyNumberFormat="1" applyFont="1" applyFill="1" applyBorder="1" applyAlignment="1">
      <alignment horizont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1"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center" vertical="top" wrapText="1"/>
    </xf>
    <xf numFmtId="0" fontId="1" fillId="0" borderId="30" xfId="0" applyFont="1" applyBorder="1" applyAlignment="1">
      <alignment horizontal="center" vertical="top" wrapText="1"/>
    </xf>
    <xf numFmtId="0" fontId="1" fillId="0" borderId="0"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0" xfId="0" applyFont="1" applyBorder="1" applyAlignment="1">
      <alignment horizontal="center" vertical="top" wrapText="1"/>
    </xf>
    <xf numFmtId="0" fontId="3" fillId="0" borderId="29"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0" borderId="6" xfId="0" applyFont="1" applyBorder="1" applyAlignment="1">
      <alignment horizontal="center" vertical="top" wrapText="1"/>
    </xf>
    <xf numFmtId="0" fontId="3" fillId="0" borderId="1" xfId="0" applyFont="1" applyBorder="1" applyAlignment="1">
      <alignment horizontal="left" vertical="top" wrapText="1"/>
    </xf>
  </cellXfs>
  <cellStyles count="12">
    <cellStyle name="Comma" xfId="1" builtinId="3"/>
    <cellStyle name="Comma 2" xfId="4"/>
    <cellStyle name="Comma 2 2" xfId="9"/>
    <cellStyle name="Comma 3" xfId="5"/>
    <cellStyle name="Comma 3 2" xfId="10"/>
    <cellStyle name="Comma 4" xfId="8"/>
    <cellStyle name="Normal" xfId="0" builtinId="0"/>
    <cellStyle name="Normal 2" xfId="2"/>
    <cellStyle name="Normal 3" xfId="6"/>
    <cellStyle name="Normal 4" xfId="11"/>
    <cellStyle name="Percent" xfId="7" builtinId="5"/>
    <cellStyle name="Percent 2" xfId="3"/>
  </cellStyles>
  <dxfs count="0"/>
  <tableStyles count="0" defaultTableStyle="TableStyleMedium2" defaultPivotStyle="PivotStyleLight16"/>
  <colors>
    <mruColors>
      <color rgb="FFCCCCFF"/>
      <color rgb="FFCCE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0</xdr:col>
      <xdr:colOff>2768621</xdr:colOff>
      <xdr:row>1</xdr:row>
      <xdr:rowOff>593661</xdr:rowOff>
    </xdr:to>
    <xdr:sp macro="" textlink="">
      <xdr:nvSpPr>
        <xdr:cNvPr id="2" name="B43B9E99-EEEB-43E0-84A8-B82E90D6F7D8">
          <a:extLst>
            <a:ext uri="{FF2B5EF4-FFF2-40B4-BE49-F238E27FC236}">
              <a16:creationId xmlns:a16="http://schemas.microsoft.com/office/drawing/2014/main" id="{00000000-0008-0000-0300-000002000000}"/>
            </a:ext>
          </a:extLst>
        </xdr:cNvPr>
        <xdr:cNvSpPr txBox="1"/>
      </xdr:nvSpPr>
      <xdr:spPr>
        <a:xfrm>
          <a:off x="127000" y="127000"/>
          <a:ext cx="2641621" cy="6762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63500" tIns="63500" rIns="63500" bIns="63500" rtlCol="0" anchor="t">
          <a:spAutoFit/>
        </a:bodyPr>
        <a:lstStyle/>
        <a:p>
          <a:r>
            <a:rPr lang="en-US" sz="1300" b="1"/>
            <a:t>3D Maps Tours
</a:t>
          </a:r>
          <a:r>
            <a:rPr lang="en-US" sz="1100"/>
            <a:t>This workbook has 3D Maps tours available.
Open 3D Maps to edit or play the tours.</a:t>
          </a:r>
          <a:endParaRPr lang="bg-BG"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1.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18" Type="http://schemas.openxmlformats.org/officeDocument/2006/relationships/printerSettings" Target="../printerSettings/printerSettings96.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17" Type="http://schemas.openxmlformats.org/officeDocument/2006/relationships/printerSettings" Target="../printerSettings/printerSettings95.bin"/><Relationship Id="rId2" Type="http://schemas.openxmlformats.org/officeDocument/2006/relationships/printerSettings" Target="../printerSettings/printerSettings80.bin"/><Relationship Id="rId16" Type="http://schemas.openxmlformats.org/officeDocument/2006/relationships/printerSettings" Target="../printerSettings/printerSettings94.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5" Type="http://schemas.openxmlformats.org/officeDocument/2006/relationships/printerSettings" Target="../printerSettings/printerSettings9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 Id="rId14" Type="http://schemas.openxmlformats.org/officeDocument/2006/relationships/printerSettings" Target="../printerSettings/printerSettings9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printerSettings" Target="../printerSettings/printerSettings109.bin"/><Relationship Id="rId18" Type="http://schemas.openxmlformats.org/officeDocument/2006/relationships/printerSettings" Target="../printerSettings/printerSettings114.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17" Type="http://schemas.openxmlformats.org/officeDocument/2006/relationships/printerSettings" Target="../printerSettings/printerSettings113.bin"/><Relationship Id="rId2" Type="http://schemas.openxmlformats.org/officeDocument/2006/relationships/printerSettings" Target="../printerSettings/printerSettings98.bin"/><Relationship Id="rId16" Type="http://schemas.openxmlformats.org/officeDocument/2006/relationships/printerSettings" Target="../printerSettings/printerSettings112.bin"/><Relationship Id="rId20" Type="http://schemas.openxmlformats.org/officeDocument/2006/relationships/printerSettings" Target="../printerSettings/printerSettings116.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5" Type="http://schemas.openxmlformats.org/officeDocument/2006/relationships/printerSettings" Target="../printerSettings/printerSettings111.bin"/><Relationship Id="rId10" Type="http://schemas.openxmlformats.org/officeDocument/2006/relationships/printerSettings" Target="../printerSettings/printerSettings106.bin"/><Relationship Id="rId19" Type="http://schemas.openxmlformats.org/officeDocument/2006/relationships/printerSettings" Target="../printerSettings/printerSettings115.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 Id="rId14" Type="http://schemas.openxmlformats.org/officeDocument/2006/relationships/printerSettings" Target="../printerSettings/printerSettings11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4.bin"/><Relationship Id="rId13" Type="http://schemas.openxmlformats.org/officeDocument/2006/relationships/printerSettings" Target="../printerSettings/printerSettings129.bin"/><Relationship Id="rId18" Type="http://schemas.openxmlformats.org/officeDocument/2006/relationships/printerSettings" Target="../printerSettings/printerSettings134.bin"/><Relationship Id="rId3" Type="http://schemas.openxmlformats.org/officeDocument/2006/relationships/printerSettings" Target="../printerSettings/printerSettings119.bin"/><Relationship Id="rId7" Type="http://schemas.openxmlformats.org/officeDocument/2006/relationships/printerSettings" Target="../printerSettings/printerSettings123.bin"/><Relationship Id="rId12" Type="http://schemas.openxmlformats.org/officeDocument/2006/relationships/printerSettings" Target="../printerSettings/printerSettings128.bin"/><Relationship Id="rId17" Type="http://schemas.openxmlformats.org/officeDocument/2006/relationships/printerSettings" Target="../printerSettings/printerSettings133.bin"/><Relationship Id="rId2" Type="http://schemas.openxmlformats.org/officeDocument/2006/relationships/printerSettings" Target="../printerSettings/printerSettings118.bin"/><Relationship Id="rId16" Type="http://schemas.openxmlformats.org/officeDocument/2006/relationships/printerSettings" Target="../printerSettings/printerSettings132.bin"/><Relationship Id="rId20" Type="http://schemas.openxmlformats.org/officeDocument/2006/relationships/printerSettings" Target="../printerSettings/printerSettings136.bin"/><Relationship Id="rId1" Type="http://schemas.openxmlformats.org/officeDocument/2006/relationships/printerSettings" Target="../printerSettings/printerSettings117.bin"/><Relationship Id="rId6" Type="http://schemas.openxmlformats.org/officeDocument/2006/relationships/printerSettings" Target="../printerSettings/printerSettings122.bin"/><Relationship Id="rId11" Type="http://schemas.openxmlformats.org/officeDocument/2006/relationships/printerSettings" Target="../printerSettings/printerSettings127.bin"/><Relationship Id="rId5" Type="http://schemas.openxmlformats.org/officeDocument/2006/relationships/printerSettings" Target="../printerSettings/printerSettings121.bin"/><Relationship Id="rId15" Type="http://schemas.openxmlformats.org/officeDocument/2006/relationships/printerSettings" Target="../printerSettings/printerSettings131.bin"/><Relationship Id="rId10" Type="http://schemas.openxmlformats.org/officeDocument/2006/relationships/printerSettings" Target="../printerSettings/printerSettings126.bin"/><Relationship Id="rId19" Type="http://schemas.openxmlformats.org/officeDocument/2006/relationships/printerSettings" Target="../printerSettings/printerSettings135.bin"/><Relationship Id="rId4" Type="http://schemas.openxmlformats.org/officeDocument/2006/relationships/printerSettings" Target="../printerSettings/printerSettings120.bin"/><Relationship Id="rId9" Type="http://schemas.openxmlformats.org/officeDocument/2006/relationships/printerSettings" Target="../printerSettings/printerSettings125.bin"/><Relationship Id="rId14" Type="http://schemas.openxmlformats.org/officeDocument/2006/relationships/printerSettings" Target="../printerSettings/printerSettings13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4.bin"/><Relationship Id="rId13" Type="http://schemas.openxmlformats.org/officeDocument/2006/relationships/printerSettings" Target="../printerSettings/printerSettings149.bin"/><Relationship Id="rId18" Type="http://schemas.openxmlformats.org/officeDocument/2006/relationships/printerSettings" Target="../printerSettings/printerSettings154.bin"/><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12" Type="http://schemas.openxmlformats.org/officeDocument/2006/relationships/printerSettings" Target="../printerSettings/printerSettings148.bin"/><Relationship Id="rId17" Type="http://schemas.openxmlformats.org/officeDocument/2006/relationships/printerSettings" Target="../printerSettings/printerSettings153.bin"/><Relationship Id="rId2" Type="http://schemas.openxmlformats.org/officeDocument/2006/relationships/printerSettings" Target="../printerSettings/printerSettings138.bin"/><Relationship Id="rId16" Type="http://schemas.openxmlformats.org/officeDocument/2006/relationships/printerSettings" Target="../printerSettings/printerSettings152.bin"/><Relationship Id="rId20" Type="http://schemas.openxmlformats.org/officeDocument/2006/relationships/printerSettings" Target="../printerSettings/printerSettings156.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11" Type="http://schemas.openxmlformats.org/officeDocument/2006/relationships/printerSettings" Target="../printerSettings/printerSettings147.bin"/><Relationship Id="rId5" Type="http://schemas.openxmlformats.org/officeDocument/2006/relationships/printerSettings" Target="../printerSettings/printerSettings141.bin"/><Relationship Id="rId15" Type="http://schemas.openxmlformats.org/officeDocument/2006/relationships/printerSettings" Target="../printerSettings/printerSettings151.bin"/><Relationship Id="rId10" Type="http://schemas.openxmlformats.org/officeDocument/2006/relationships/printerSettings" Target="../printerSettings/printerSettings146.bin"/><Relationship Id="rId19" Type="http://schemas.openxmlformats.org/officeDocument/2006/relationships/printerSettings" Target="../printerSettings/printerSettings155.bin"/><Relationship Id="rId4" Type="http://schemas.openxmlformats.org/officeDocument/2006/relationships/printerSettings" Target="../printerSettings/printerSettings140.bin"/><Relationship Id="rId9" Type="http://schemas.openxmlformats.org/officeDocument/2006/relationships/printerSettings" Target="../printerSettings/printerSettings145.bin"/><Relationship Id="rId14" Type="http://schemas.openxmlformats.org/officeDocument/2006/relationships/printerSettings" Target="../printerSettings/printerSettings15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4.bin"/><Relationship Id="rId13" Type="http://schemas.openxmlformats.org/officeDocument/2006/relationships/printerSettings" Target="../printerSettings/printerSettings169.bin"/><Relationship Id="rId18" Type="http://schemas.openxmlformats.org/officeDocument/2006/relationships/printerSettings" Target="../printerSettings/printerSettings174.bin"/><Relationship Id="rId3" Type="http://schemas.openxmlformats.org/officeDocument/2006/relationships/printerSettings" Target="../printerSettings/printerSettings159.bin"/><Relationship Id="rId7" Type="http://schemas.openxmlformats.org/officeDocument/2006/relationships/printerSettings" Target="../printerSettings/printerSettings163.bin"/><Relationship Id="rId12" Type="http://schemas.openxmlformats.org/officeDocument/2006/relationships/printerSettings" Target="../printerSettings/printerSettings168.bin"/><Relationship Id="rId17" Type="http://schemas.openxmlformats.org/officeDocument/2006/relationships/printerSettings" Target="../printerSettings/printerSettings173.bin"/><Relationship Id="rId2" Type="http://schemas.openxmlformats.org/officeDocument/2006/relationships/printerSettings" Target="../printerSettings/printerSettings158.bin"/><Relationship Id="rId16" Type="http://schemas.openxmlformats.org/officeDocument/2006/relationships/printerSettings" Target="../printerSettings/printerSettings172.bin"/><Relationship Id="rId20" Type="http://schemas.openxmlformats.org/officeDocument/2006/relationships/printerSettings" Target="../printerSettings/printerSettings176.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11" Type="http://schemas.openxmlformats.org/officeDocument/2006/relationships/printerSettings" Target="../printerSettings/printerSettings167.bin"/><Relationship Id="rId5" Type="http://schemas.openxmlformats.org/officeDocument/2006/relationships/printerSettings" Target="../printerSettings/printerSettings161.bin"/><Relationship Id="rId15" Type="http://schemas.openxmlformats.org/officeDocument/2006/relationships/printerSettings" Target="../printerSettings/printerSettings171.bin"/><Relationship Id="rId10" Type="http://schemas.openxmlformats.org/officeDocument/2006/relationships/printerSettings" Target="../printerSettings/printerSettings166.bin"/><Relationship Id="rId19" Type="http://schemas.openxmlformats.org/officeDocument/2006/relationships/printerSettings" Target="../printerSettings/printerSettings175.bin"/><Relationship Id="rId4" Type="http://schemas.openxmlformats.org/officeDocument/2006/relationships/printerSettings" Target="../printerSettings/printerSettings160.bin"/><Relationship Id="rId9" Type="http://schemas.openxmlformats.org/officeDocument/2006/relationships/printerSettings" Target="../printerSettings/printerSettings165.bin"/><Relationship Id="rId14" Type="http://schemas.openxmlformats.org/officeDocument/2006/relationships/printerSettings" Target="../printerSettings/printerSettings17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zoomScaleNormal="100" workbookViewId="0">
      <selection activeCell="I12" sqref="I12:K12"/>
    </sheetView>
  </sheetViews>
  <sheetFormatPr defaultColWidth="8.7109375" defaultRowHeight="15" x14ac:dyDescent="0.25"/>
  <cols>
    <col min="1" max="1" width="6.7109375" style="127" customWidth="1"/>
    <col min="2" max="2" width="9.28515625" style="127" customWidth="1"/>
    <col min="3" max="3" width="6.42578125" style="127" customWidth="1"/>
    <col min="4" max="13" width="15.5703125" style="127" customWidth="1"/>
    <col min="14" max="14" width="14.7109375" style="127" bestFit="1" customWidth="1"/>
    <col min="15" max="15" width="16.42578125" style="127" customWidth="1"/>
    <col min="16" max="16" width="8" style="127" bestFit="1" customWidth="1"/>
    <col min="17" max="17" width="10" style="127" bestFit="1" customWidth="1"/>
    <col min="18" max="18" width="9.28515625" style="127" bestFit="1" customWidth="1"/>
    <col min="19" max="19" width="10" style="127" bestFit="1" customWidth="1"/>
    <col min="20" max="20" width="9.28515625" style="127" bestFit="1" customWidth="1"/>
    <col min="21" max="16384" width="8.7109375" style="127"/>
  </cols>
  <sheetData>
    <row r="1" spans="1:15" ht="18.75" x14ac:dyDescent="0.3">
      <c r="F1" s="313" t="s">
        <v>374</v>
      </c>
    </row>
    <row r="2" spans="1:15" ht="15.75" thickBot="1" x14ac:dyDescent="0.3">
      <c r="A2" s="127" t="s">
        <v>0</v>
      </c>
      <c r="K2" s="187"/>
      <c r="L2" s="188" t="s">
        <v>1</v>
      </c>
      <c r="M2" s="187"/>
    </row>
    <row r="3" spans="1:15" ht="17.25" thickBot="1" x14ac:dyDescent="0.3">
      <c r="A3" s="420" t="s">
        <v>2</v>
      </c>
      <c r="B3" s="421"/>
      <c r="C3" s="421"/>
      <c r="D3" s="421"/>
      <c r="E3" s="421"/>
      <c r="F3" s="421"/>
      <c r="G3" s="421"/>
      <c r="H3" s="421"/>
      <c r="I3" s="421"/>
      <c r="J3" s="421"/>
      <c r="K3" s="421"/>
      <c r="L3" s="422"/>
    </row>
    <row r="4" spans="1:15" ht="43.5" thickBot="1" x14ac:dyDescent="0.3">
      <c r="A4" s="175" t="s">
        <v>3</v>
      </c>
      <c r="B4" s="176" t="s">
        <v>4</v>
      </c>
      <c r="C4" s="177">
        <v>2021</v>
      </c>
      <c r="D4" s="178">
        <v>2022</v>
      </c>
      <c r="E4" s="178">
        <v>2023</v>
      </c>
      <c r="F4" s="179">
        <v>2024</v>
      </c>
      <c r="G4" s="179">
        <v>2025</v>
      </c>
      <c r="H4" s="180">
        <v>2026</v>
      </c>
      <c r="I4" s="179"/>
      <c r="J4" s="181">
        <v>2027</v>
      </c>
      <c r="K4" s="181"/>
      <c r="L4" s="179" t="s">
        <v>5</v>
      </c>
      <c r="M4" s="198"/>
      <c r="O4" s="128"/>
    </row>
    <row r="5" spans="1:15" ht="42.75" thickBot="1" x14ac:dyDescent="0.3">
      <c r="A5" s="182"/>
      <c r="B5" s="170"/>
      <c r="C5" s="171"/>
      <c r="D5" s="172"/>
      <c r="E5" s="172"/>
      <c r="F5" s="173"/>
      <c r="G5" s="173"/>
      <c r="H5" s="197" t="s">
        <v>6</v>
      </c>
      <c r="I5" s="197" t="s">
        <v>7</v>
      </c>
      <c r="J5" s="197" t="s">
        <v>8</v>
      </c>
      <c r="K5" s="197" t="s">
        <v>9</v>
      </c>
      <c r="L5" s="173"/>
      <c r="M5" s="198"/>
      <c r="O5" s="128"/>
    </row>
    <row r="6" spans="1:15" ht="39" thickBot="1" x14ac:dyDescent="0.3">
      <c r="A6" s="183" t="s">
        <v>10</v>
      </c>
      <c r="B6" s="174" t="s">
        <v>13</v>
      </c>
      <c r="C6" s="146"/>
      <c r="D6" s="140"/>
      <c r="E6" s="140"/>
      <c r="F6" s="140"/>
      <c r="G6" s="140"/>
      <c r="H6" s="140"/>
      <c r="I6" s="140"/>
      <c r="J6" s="140"/>
      <c r="K6" s="140"/>
      <c r="L6" s="195">
        <f>SUM(C6:J6)</f>
        <v>0</v>
      </c>
      <c r="M6" s="199"/>
      <c r="N6" s="228" t="s">
        <v>297</v>
      </c>
      <c r="O6" s="128"/>
    </row>
    <row r="7" spans="1:15" ht="15.75" thickBot="1" x14ac:dyDescent="0.3">
      <c r="A7" s="184"/>
      <c r="B7" s="174" t="s">
        <v>14</v>
      </c>
      <c r="C7" s="146"/>
      <c r="D7" s="140">
        <v>2268477</v>
      </c>
      <c r="E7" s="140">
        <v>2340588</v>
      </c>
      <c r="F7" s="140">
        <v>2421490</v>
      </c>
      <c r="G7" s="140">
        <v>2501966</v>
      </c>
      <c r="H7" s="140">
        <v>1071729</v>
      </c>
      <c r="I7" s="226">
        <v>1071729</v>
      </c>
      <c r="J7" s="140">
        <v>1112517</v>
      </c>
      <c r="K7" s="226">
        <v>1112517</v>
      </c>
      <c r="L7" s="195">
        <f>SUM(C7:K7)</f>
        <v>13901013</v>
      </c>
      <c r="M7" s="128">
        <f>+L7-I7-K7</f>
        <v>11716767</v>
      </c>
      <c r="N7" s="229">
        <f>+I7+K7</f>
        <v>2184246</v>
      </c>
      <c r="O7" s="128">
        <f>+L7-N7</f>
        <v>11716767</v>
      </c>
    </row>
    <row r="8" spans="1:15" ht="39" thickBot="1" x14ac:dyDescent="0.3">
      <c r="A8" s="184"/>
      <c r="B8" s="174" t="s">
        <v>11</v>
      </c>
      <c r="C8" s="146" t="s">
        <v>12</v>
      </c>
      <c r="D8" s="140">
        <v>12643748</v>
      </c>
      <c r="E8" s="140">
        <v>14854805</v>
      </c>
      <c r="F8" s="140">
        <v>15360084</v>
      </c>
      <c r="G8" s="140">
        <v>15862144</v>
      </c>
      <c r="H8" s="140">
        <v>6787559</v>
      </c>
      <c r="I8" s="226">
        <v>6787559</v>
      </c>
      <c r="J8" s="140">
        <v>7041294</v>
      </c>
      <c r="K8" s="226">
        <v>7041294</v>
      </c>
      <c r="L8" s="195">
        <f>SUM(C8:K8)</f>
        <v>86378487</v>
      </c>
      <c r="M8" s="128">
        <f>+L8-I8-K8</f>
        <v>72549634</v>
      </c>
      <c r="N8" s="229">
        <f>+I8+K8</f>
        <v>13828853</v>
      </c>
      <c r="O8" s="128">
        <f>+L8-N8</f>
        <v>72549634</v>
      </c>
    </row>
    <row r="9" spans="1:15" ht="16.5" thickBot="1" x14ac:dyDescent="0.3">
      <c r="A9" s="185" t="s">
        <v>15</v>
      </c>
      <c r="B9" s="186"/>
      <c r="C9" s="189" t="s">
        <v>16</v>
      </c>
      <c r="D9" s="190">
        <f>+D7+D8</f>
        <v>14912225</v>
      </c>
      <c r="E9" s="190">
        <f t="shared" ref="E9:K9" si="0">+E7+E8</f>
        <v>17195393</v>
      </c>
      <c r="F9" s="190">
        <f t="shared" si="0"/>
        <v>17781574</v>
      </c>
      <c r="G9" s="190">
        <f t="shared" si="0"/>
        <v>18364110</v>
      </c>
      <c r="H9" s="190">
        <f t="shared" si="0"/>
        <v>7859288</v>
      </c>
      <c r="I9" s="227">
        <f t="shared" si="0"/>
        <v>7859288</v>
      </c>
      <c r="J9" s="190">
        <f t="shared" si="0"/>
        <v>8153811</v>
      </c>
      <c r="K9" s="190">
        <f t="shared" si="0"/>
        <v>8153811</v>
      </c>
      <c r="L9" s="205">
        <f>SUM(C9:K9)</f>
        <v>100279500</v>
      </c>
      <c r="M9" s="200"/>
      <c r="N9" s="312">
        <f>SUM(N7:N8)</f>
        <v>16013099</v>
      </c>
    </row>
    <row r="10" spans="1:15" x14ac:dyDescent="0.25">
      <c r="D10" s="312">
        <f>SUM(D9:G9)</f>
        <v>68253302</v>
      </c>
      <c r="L10" s="375">
        <f>+L9/L15*1.95583</f>
        <v>237594893.38219988</v>
      </c>
    </row>
    <row r="11" spans="1:15" x14ac:dyDescent="0.25">
      <c r="E11" s="191"/>
      <c r="F11" s="191"/>
      <c r="G11" s="191"/>
      <c r="H11" s="191"/>
      <c r="I11" s="191"/>
      <c r="J11" s="191"/>
      <c r="K11" s="191"/>
    </row>
    <row r="12" spans="1:15" ht="113.25" customHeight="1" x14ac:dyDescent="0.25">
      <c r="I12" s="423" t="s">
        <v>295</v>
      </c>
      <c r="J12" s="423"/>
      <c r="K12" s="423"/>
    </row>
    <row r="15" spans="1:15" x14ac:dyDescent="0.25">
      <c r="L15" s="127">
        <v>0.82547925038734704</v>
      </c>
    </row>
    <row r="16" spans="1:15" ht="33" customHeight="1" x14ac:dyDescent="0.25">
      <c r="A16" s="424" t="s">
        <v>478</v>
      </c>
      <c r="B16" s="424"/>
      <c r="C16" s="424"/>
      <c r="D16" s="424"/>
      <c r="E16" s="424"/>
      <c r="F16" s="424"/>
      <c r="G16" s="424"/>
      <c r="H16" s="424"/>
      <c r="I16" s="424"/>
      <c r="J16" s="424"/>
      <c r="K16" s="424"/>
      <c r="L16" s="424"/>
    </row>
    <row r="17" spans="1:15" ht="15.75" x14ac:dyDescent="0.25">
      <c r="A17" s="428" t="s">
        <v>483</v>
      </c>
      <c r="B17" s="428" t="s">
        <v>484</v>
      </c>
      <c r="C17" s="428">
        <v>2021</v>
      </c>
      <c r="D17" s="427">
        <v>2022</v>
      </c>
      <c r="E17" s="427">
        <v>2023</v>
      </c>
      <c r="F17" s="425">
        <v>2024</v>
      </c>
      <c r="G17" s="425">
        <v>2025</v>
      </c>
      <c r="H17" s="425">
        <v>2026</v>
      </c>
      <c r="I17" s="425"/>
      <c r="J17" s="426">
        <v>2027</v>
      </c>
      <c r="K17" s="426"/>
      <c r="L17" s="425" t="s">
        <v>459</v>
      </c>
      <c r="M17" s="198"/>
      <c r="O17" s="128"/>
    </row>
    <row r="18" spans="1:15" ht="58.5" customHeight="1" x14ac:dyDescent="0.25">
      <c r="A18" s="428"/>
      <c r="B18" s="428"/>
      <c r="C18" s="428"/>
      <c r="D18" s="427"/>
      <c r="E18" s="427"/>
      <c r="F18" s="425"/>
      <c r="G18" s="425"/>
      <c r="H18" s="379" t="s">
        <v>477</v>
      </c>
      <c r="I18" s="379" t="s">
        <v>467</v>
      </c>
      <c r="J18" s="379" t="s">
        <v>477</v>
      </c>
      <c r="K18" s="379" t="s">
        <v>467</v>
      </c>
      <c r="L18" s="425"/>
      <c r="M18" s="198"/>
      <c r="O18" s="128"/>
    </row>
    <row r="19" spans="1:15" ht="25.5" customHeight="1" x14ac:dyDescent="0.25">
      <c r="A19" s="380" t="s">
        <v>479</v>
      </c>
      <c r="B19" s="380" t="s">
        <v>485</v>
      </c>
      <c r="C19" s="381">
        <v>0</v>
      </c>
      <c r="D19" s="382">
        <v>2268477</v>
      </c>
      <c r="E19" s="382">
        <v>2340588</v>
      </c>
      <c r="F19" s="382">
        <v>2421490</v>
      </c>
      <c r="G19" s="382">
        <v>2501966</v>
      </c>
      <c r="H19" s="382">
        <v>1071729</v>
      </c>
      <c r="I19" s="383">
        <v>1071729</v>
      </c>
      <c r="J19" s="382">
        <v>1112517</v>
      </c>
      <c r="K19" s="383">
        <v>1112517</v>
      </c>
      <c r="L19" s="384">
        <f>SUM(C19:K19)</f>
        <v>13901013</v>
      </c>
      <c r="M19" s="198"/>
      <c r="O19" s="128"/>
    </row>
    <row r="20" spans="1:15" ht="50.25" customHeight="1" x14ac:dyDescent="0.25">
      <c r="A20" s="380" t="s">
        <v>479</v>
      </c>
      <c r="B20" s="380" t="s">
        <v>289</v>
      </c>
      <c r="C20" s="381">
        <v>0</v>
      </c>
      <c r="D20" s="382">
        <v>12643748</v>
      </c>
      <c r="E20" s="382">
        <v>14854805</v>
      </c>
      <c r="F20" s="382">
        <v>15360084</v>
      </c>
      <c r="G20" s="382">
        <v>15862144</v>
      </c>
      <c r="H20" s="382">
        <v>6787559</v>
      </c>
      <c r="I20" s="383">
        <v>6787559</v>
      </c>
      <c r="J20" s="382">
        <v>7041294</v>
      </c>
      <c r="K20" s="383">
        <v>7041294</v>
      </c>
      <c r="L20" s="384">
        <f>SUM(C20:K20)</f>
        <v>86378487</v>
      </c>
      <c r="M20" s="198"/>
      <c r="O20" s="128"/>
    </row>
    <row r="21" spans="1:15" ht="26.25" customHeight="1" x14ac:dyDescent="0.25">
      <c r="A21" s="385" t="s">
        <v>480</v>
      </c>
      <c r="B21" s="380"/>
      <c r="C21" s="386">
        <f>+C19+C20</f>
        <v>0</v>
      </c>
      <c r="D21" s="387">
        <f t="shared" ref="D21:L21" si="1">+D19+D20</f>
        <v>14912225</v>
      </c>
      <c r="E21" s="387">
        <f t="shared" si="1"/>
        <v>17195393</v>
      </c>
      <c r="F21" s="387">
        <f t="shared" si="1"/>
        <v>17781574</v>
      </c>
      <c r="G21" s="387">
        <f t="shared" si="1"/>
        <v>18364110</v>
      </c>
      <c r="H21" s="387">
        <f t="shared" si="1"/>
        <v>7859288</v>
      </c>
      <c r="I21" s="387">
        <f t="shared" si="1"/>
        <v>7859288</v>
      </c>
      <c r="J21" s="387">
        <f t="shared" si="1"/>
        <v>8153811</v>
      </c>
      <c r="K21" s="387">
        <f t="shared" si="1"/>
        <v>8153811</v>
      </c>
      <c r="L21" s="387">
        <f t="shared" si="1"/>
        <v>100279500</v>
      </c>
      <c r="M21" s="198"/>
      <c r="N21" s="128"/>
      <c r="O21" s="128"/>
    </row>
    <row r="22" spans="1:15" x14ac:dyDescent="0.25">
      <c r="J22" s="376" t="s">
        <v>482</v>
      </c>
      <c r="K22" s="377">
        <f>+I21+K21</f>
        <v>16013099</v>
      </c>
      <c r="M22" s="375"/>
    </row>
    <row r="24" spans="1:15" ht="16.5" x14ac:dyDescent="0.25">
      <c r="A24" s="424" t="s">
        <v>478</v>
      </c>
      <c r="B24" s="424"/>
      <c r="C24" s="424"/>
      <c r="D24" s="424"/>
      <c r="E24" s="424"/>
      <c r="F24" s="424"/>
      <c r="G24" s="424"/>
      <c r="H24" s="424"/>
      <c r="I24" s="424"/>
      <c r="J24" s="424"/>
      <c r="K24" s="424"/>
      <c r="L24" s="424"/>
    </row>
    <row r="25" spans="1:15" x14ac:dyDescent="0.25">
      <c r="A25" s="428" t="s">
        <v>483</v>
      </c>
      <c r="B25" s="428" t="s">
        <v>484</v>
      </c>
      <c r="C25" s="428">
        <v>2021</v>
      </c>
      <c r="D25" s="427">
        <v>2022</v>
      </c>
      <c r="E25" s="427">
        <v>2023</v>
      </c>
      <c r="F25" s="425">
        <v>2024</v>
      </c>
      <c r="G25" s="425">
        <v>2025</v>
      </c>
      <c r="H25" s="425">
        <v>2026</v>
      </c>
      <c r="I25" s="425"/>
      <c r="J25" s="426">
        <v>2027</v>
      </c>
      <c r="K25" s="426"/>
      <c r="L25" s="425" t="s">
        <v>459</v>
      </c>
    </row>
    <row r="26" spans="1:15" ht="42" x14ac:dyDescent="0.25">
      <c r="A26" s="428"/>
      <c r="B26" s="428"/>
      <c r="C26" s="428"/>
      <c r="D26" s="427"/>
      <c r="E26" s="427"/>
      <c r="F26" s="425"/>
      <c r="G26" s="425"/>
      <c r="H26" s="379" t="s">
        <v>477</v>
      </c>
      <c r="I26" s="379" t="s">
        <v>467</v>
      </c>
      <c r="J26" s="379" t="s">
        <v>477</v>
      </c>
      <c r="K26" s="379" t="s">
        <v>467</v>
      </c>
      <c r="L26" s="425"/>
    </row>
    <row r="27" spans="1:15" ht="25.5" customHeight="1" x14ac:dyDescent="0.25">
      <c r="A27" s="380" t="s">
        <v>479</v>
      </c>
      <c r="B27" s="380" t="s">
        <v>485</v>
      </c>
      <c r="C27" s="381">
        <v>0</v>
      </c>
      <c r="D27" s="382">
        <f>+D19/0.7*1.95583</f>
        <v>6338221.9584428575</v>
      </c>
      <c r="E27" s="382">
        <f t="shared" ref="E27:K27" si="2">+E19/0.7*1.95583</f>
        <v>6539703.1829142859</v>
      </c>
      <c r="F27" s="382">
        <f t="shared" si="2"/>
        <v>6765746.838142857</v>
      </c>
      <c r="G27" s="382">
        <f t="shared" si="2"/>
        <v>6990600.231114286</v>
      </c>
      <c r="H27" s="382">
        <f t="shared" si="2"/>
        <v>2994456.757242857</v>
      </c>
      <c r="I27" s="383">
        <f t="shared" si="2"/>
        <v>2994456.757242857</v>
      </c>
      <c r="J27" s="382">
        <f t="shared" si="2"/>
        <v>3108420.1773000001</v>
      </c>
      <c r="K27" s="383">
        <f t="shared" si="2"/>
        <v>3108420.1773000001</v>
      </c>
      <c r="L27" s="384">
        <f>SUM(C27:K27)</f>
        <v>38840026.079700001</v>
      </c>
    </row>
    <row r="28" spans="1:15" ht="48" customHeight="1" x14ac:dyDescent="0.25">
      <c r="A28" s="380" t="s">
        <v>479</v>
      </c>
      <c r="B28" s="380" t="s">
        <v>289</v>
      </c>
      <c r="C28" s="381">
        <v>0</v>
      </c>
      <c r="D28" s="382">
        <f>+D20/0.85*1.95583</f>
        <v>29092966.64804706</v>
      </c>
      <c r="E28" s="382">
        <f t="shared" ref="E28:K28" si="3">+E20/0.85*1.95583</f>
        <v>34180556.780176468</v>
      </c>
      <c r="F28" s="382">
        <f t="shared" si="3"/>
        <v>35343191.870258823</v>
      </c>
      <c r="G28" s="382">
        <f t="shared" si="3"/>
        <v>36498420.11708235</v>
      </c>
      <c r="H28" s="382">
        <f t="shared" si="3"/>
        <v>15618013.551729411</v>
      </c>
      <c r="I28" s="383">
        <f t="shared" si="3"/>
        <v>15618013.551729411</v>
      </c>
      <c r="J28" s="382">
        <f t="shared" si="3"/>
        <v>16201851.816494118</v>
      </c>
      <c r="K28" s="383">
        <f t="shared" si="3"/>
        <v>16201851.816494118</v>
      </c>
      <c r="L28" s="384">
        <f>SUM(C28:K28)+1</f>
        <v>198754867.15201175</v>
      </c>
    </row>
    <row r="29" spans="1:15" ht="22.5" customHeight="1" x14ac:dyDescent="0.25">
      <c r="A29" s="385" t="s">
        <v>480</v>
      </c>
      <c r="B29" s="380"/>
      <c r="C29" s="386">
        <f>+C27+C28</f>
        <v>0</v>
      </c>
      <c r="D29" s="387">
        <f t="shared" ref="D29" si="4">+D27+D28</f>
        <v>35431188.606489919</v>
      </c>
      <c r="E29" s="387">
        <f t="shared" ref="E29" si="5">+E27+E28</f>
        <v>40720259.963090755</v>
      </c>
      <c r="F29" s="387">
        <f t="shared" ref="F29" si="6">+F27+F28</f>
        <v>42108938.70840168</v>
      </c>
      <c r="G29" s="387">
        <f t="shared" ref="G29" si="7">+G27+G28</f>
        <v>43489020.348196633</v>
      </c>
      <c r="H29" s="387">
        <f t="shared" ref="H29" si="8">+H27+H28</f>
        <v>18612470.308972269</v>
      </c>
      <c r="I29" s="387">
        <f t="shared" ref="I29" si="9">+I27+I28</f>
        <v>18612470.308972269</v>
      </c>
      <c r="J29" s="387">
        <f t="shared" ref="J29" si="10">+J27+J28</f>
        <v>19310271.993794117</v>
      </c>
      <c r="K29" s="387">
        <f t="shared" ref="K29:L29" si="11">+K27+K28</f>
        <v>19310271.993794117</v>
      </c>
      <c r="L29" s="387">
        <f t="shared" si="11"/>
        <v>237594893.23171175</v>
      </c>
    </row>
    <row r="30" spans="1:15" ht="22.5" customHeight="1" x14ac:dyDescent="0.25">
      <c r="A30" s="388" t="s">
        <v>481</v>
      </c>
      <c r="B30" s="389"/>
      <c r="C30" s="389"/>
      <c r="D30" s="390">
        <f>+D29/$L$29</f>
        <v>0.1491243693185613</v>
      </c>
      <c r="E30" s="390">
        <f>+E29/$L$29</f>
        <v>0.17138524910709582</v>
      </c>
      <c r="F30" s="390">
        <f>+F29/$L$29</f>
        <v>0.17722998224265457</v>
      </c>
      <c r="G30" s="390">
        <f>+G29/$L$29</f>
        <v>0.18303853149648489</v>
      </c>
      <c r="H30" s="429">
        <f>+(H29+I29)/$L$29</f>
        <v>0.15667399291129264</v>
      </c>
      <c r="I30" s="430"/>
      <c r="J30" s="429">
        <f>+(J29+K29)/$L$29</f>
        <v>0.16254787071506618</v>
      </c>
      <c r="K30" s="430"/>
      <c r="L30" s="390">
        <f>+L29/$L$29</f>
        <v>1</v>
      </c>
    </row>
    <row r="31" spans="1:15" x14ac:dyDescent="0.25">
      <c r="J31" s="376" t="s">
        <v>482</v>
      </c>
      <c r="K31" s="312">
        <f>+I29+K29</f>
        <v>37922742.302766383</v>
      </c>
    </row>
    <row r="32" spans="1:15" x14ac:dyDescent="0.25">
      <c r="I32" s="312"/>
      <c r="K32" s="378">
        <f>+K31/L29</f>
        <v>0.1596109318131794</v>
      </c>
    </row>
    <row r="33" spans="11:11" x14ac:dyDescent="0.25">
      <c r="K33" s="127">
        <v>0.82547925038734704</v>
      </c>
    </row>
    <row r="64" spans="10:11" x14ac:dyDescent="0.25">
      <c r="J64" s="391" t="s">
        <v>486</v>
      </c>
      <c r="K64" s="312">
        <f>+K31/1.95583*K33</f>
        <v>16005704.426622013</v>
      </c>
    </row>
    <row r="65" spans="10:13" x14ac:dyDescent="0.25">
      <c r="J65" s="391"/>
      <c r="K65" s="312">
        <f>+L29-K31</f>
        <v>199672150.92894536</v>
      </c>
    </row>
    <row r="66" spans="10:13" x14ac:dyDescent="0.25">
      <c r="J66" s="391" t="s">
        <v>486</v>
      </c>
      <c r="K66" s="312">
        <f>+K65/1.95583*K33</f>
        <v>84273795.50986284</v>
      </c>
    </row>
    <row r="68" spans="10:13" x14ac:dyDescent="0.25">
      <c r="K68" s="312">
        <v>18090109.071054999</v>
      </c>
      <c r="M68" s="312">
        <f>+L29-K31</f>
        <v>199672150.92894536</v>
      </c>
    </row>
    <row r="69" spans="10:13" x14ac:dyDescent="0.25">
      <c r="K69" s="312">
        <f>+K68/1.95583*K33</f>
        <v>7635126.6088565094</v>
      </c>
      <c r="M69" s="312">
        <f>+K70-M68</f>
        <v>18090108.071054637</v>
      </c>
    </row>
    <row r="70" spans="10:13" x14ac:dyDescent="0.25">
      <c r="K70" s="312">
        <v>217762259</v>
      </c>
    </row>
    <row r="71" spans="10:13" x14ac:dyDescent="0.25">
      <c r="K71" s="312">
        <f>+K70/1.95583*K33</f>
        <v>91908921.696658358</v>
      </c>
    </row>
    <row r="73" spans="10:13" x14ac:dyDescent="0.25">
      <c r="K73" s="312">
        <v>192188569</v>
      </c>
      <c r="L73" s="127">
        <v>17755311</v>
      </c>
      <c r="M73" s="127">
        <v>7818379</v>
      </c>
    </row>
    <row r="74" spans="10:13" x14ac:dyDescent="0.25">
      <c r="K74" s="312">
        <f>+K73+L73+M73</f>
        <v>217762259</v>
      </c>
    </row>
    <row r="76" spans="10:13" x14ac:dyDescent="0.25">
      <c r="K76" s="392">
        <f>+K69/1000000</f>
        <v>7.6351266088565097</v>
      </c>
    </row>
  </sheetData>
  <customSheetViews>
    <customSheetView guid="{6BEE494D-3BDB-46C2-9750-A57C1F94B9B8}" scale="90" showGridLines="0">
      <selection activeCell="J7" sqref="J7"/>
      <pageMargins left="0.7" right="0.7" top="0.75" bottom="0.75" header="0.3" footer="0.3"/>
      <pageSetup paperSize="9" orientation="portrait" horizontalDpi="300" verticalDpi="300" r:id="rId1"/>
    </customSheetView>
    <customSheetView guid="{B426F9F8-EB1A-4D7B-9478-7E22D414CC12}" scale="85" showPageBreaks="1" printArea="1">
      <selection activeCell="D7" sqref="D7:K8"/>
      <pageMargins left="0.7" right="0.7" top="0.75" bottom="0.75" header="0.3" footer="0.3"/>
      <pageSetup paperSize="9" orientation="portrait" horizontalDpi="300" verticalDpi="300" r:id="rId2"/>
    </customSheetView>
    <customSheetView guid="{13EBDE9D-EC74-4522-9EED-363E735B4A78}" scale="90" showPageBreaks="1" showGridLines="0" printArea="1">
      <selection activeCell="J7" sqref="J7"/>
      <pageMargins left="0.7" right="0.7" top="0.75" bottom="0.75" header="0.3" footer="0.3"/>
      <pageSetup paperSize="9" orientation="portrait" horizontalDpi="300" verticalDpi="300" r:id="rId3"/>
    </customSheetView>
    <customSheetView guid="{F67C426D-26F1-4B15-961D-40AFD17A9EE3}" scale="115" showPageBreaks="1" printArea="1">
      <selection activeCell="D19" sqref="D19"/>
      <pageMargins left="0.7" right="0.7" top="0.75" bottom="0.75" header="0.3" footer="0.3"/>
      <pageSetup paperSize="9" orientation="portrait" horizontalDpi="300" verticalDpi="300" r:id="rId4"/>
    </customSheetView>
    <customSheetView guid="{B777B674-73ED-4225-A0AA-917FDFF5A819}" scale="115">
      <selection activeCell="D19" sqref="D19"/>
      <pageMargins left="0.7" right="0.7" top="0.75" bottom="0.75" header="0.3" footer="0.3"/>
      <pageSetup paperSize="9" orientation="portrait" horizontalDpi="300" verticalDpi="300" r:id="rId5"/>
    </customSheetView>
    <customSheetView guid="{DE1004AE-EE6B-445B-9B87-77176E699CEC}" scale="115">
      <selection activeCell="D19" sqref="D19"/>
      <pageMargins left="0.7" right="0.7" top="0.75" bottom="0.75" header="0.3" footer="0.3"/>
      <pageSetup paperSize="9" orientation="portrait" horizontalDpi="300" verticalDpi="300" r:id="rId6"/>
    </customSheetView>
    <customSheetView guid="{7FBA698A-B4F9-473C-A697-22EC99EC7386}" scale="85">
      <selection activeCell="D7" sqref="D7:K8"/>
      <pageMargins left="0.7" right="0.7" top="0.75" bottom="0.75" header="0.3" footer="0.3"/>
      <pageSetup paperSize="9" orientation="portrait" horizontalDpi="300" verticalDpi="300" r:id="rId7"/>
    </customSheetView>
    <customSheetView guid="{53CF95D2-2F99-49E8-AB7F-7627DCDE0DC8}" scale="115">
      <selection activeCell="D19" sqref="D19"/>
      <pageMargins left="0.7" right="0.7" top="0.75" bottom="0.75" header="0.3" footer="0.3"/>
      <pageSetup paperSize="9" orientation="portrait" horizontalDpi="300" verticalDpi="300" r:id="rId8"/>
    </customSheetView>
    <customSheetView guid="{AD504361-49F3-4986-BDBF-FB73E2299976}" showPageBreaks="1" printArea="1" topLeftCell="C1">
      <selection activeCell="M6" sqref="M6:M8"/>
      <pageMargins left="0.7" right="0.7" top="0.75" bottom="0.75" header="0.3" footer="0.3"/>
      <pageSetup paperSize="9" orientation="portrait" horizontalDpi="300" verticalDpi="300" r:id="rId9"/>
    </customSheetView>
    <customSheetView guid="{DD0EA6D3-BC8C-40D3-B12F-B88059C8E3DC}" scale="85">
      <selection activeCell="D7" sqref="D7:K8"/>
      <pageMargins left="0.7" right="0.7" top="0.75" bottom="0.75" header="0.3" footer="0.3"/>
      <pageSetup paperSize="9" orientation="portrait" horizontalDpi="300" verticalDpi="300" r:id="rId10"/>
    </customSheetView>
    <customSheetView guid="{72B67681-E295-44ED-80A6-F4B618B242B1}" scale="115">
      <selection activeCell="F29" sqref="F29"/>
    </customSheetView>
    <customSheetView guid="{9CD5F6CE-0E1C-42DA-A598-93523B740CBC}" scale="115" showPageBreaks="1" printArea="1">
      <selection activeCell="F29" sqref="F29"/>
      <pageMargins left="0.7" right="0.7" top="0.75" bottom="0.75" header="0.3" footer="0.3"/>
      <pageSetup paperSize="9" orientation="portrait" horizontalDpi="300" verticalDpi="300" r:id="rId11"/>
    </customSheetView>
    <customSheetView guid="{E07B67F4-8A17-4050-B9B8-81977BCB02E2}" scale="115" showPageBreaks="1" printArea="1">
      <selection activeCell="A21" sqref="A21"/>
      <pageMargins left="0.7" right="0.7" top="0.75" bottom="0.75" header="0.3" footer="0.3"/>
      <pageSetup paperSize="9" orientation="portrait" horizontalDpi="300" verticalDpi="300" r:id="rId12"/>
    </customSheetView>
    <customSheetView guid="{2A6315F5-C9A2-43A7-B337-00FD30A3EB26}" scale="115" showPageBreaks="1" printArea="1">
      <selection activeCell="F29" sqref="F29"/>
      <pageMargins left="0.7" right="0.7" top="0.75" bottom="0.75" header="0.3" footer="0.3"/>
      <pageSetup paperSize="9" orientation="portrait" horizontalDpi="300" verticalDpi="300" r:id="rId13"/>
    </customSheetView>
    <customSheetView guid="{D1BD168D-40B4-46AB-88B7-64C22520CFA0}" scale="115" showPageBreaks="1" printArea="1">
      <selection activeCell="A2" sqref="A2"/>
      <pageMargins left="0.7" right="0.7" top="0.75" bottom="0.75" header="0.3" footer="0.3"/>
      <pageSetup paperSize="9" orientation="portrait" horizontalDpi="300" verticalDpi="300" r:id="rId14"/>
    </customSheetView>
    <customSheetView guid="{56BC42A3-D967-4F27-BD5A-CB0B8CB7F657}" scale="115" showPageBreaks="1" printArea="1">
      <selection activeCell="F29" sqref="F29"/>
      <pageMargins left="0.7" right="0.7" top="0.75" bottom="0.75" header="0.3" footer="0.3"/>
      <pageSetup paperSize="9" orientation="portrait" horizontalDpi="300" verticalDpi="300" r:id="rId15"/>
    </customSheetView>
    <customSheetView guid="{DE419AE1-55C7-41E8-9A94-E4062EF30970}" scale="115" showPageBreaks="1" printArea="1">
      <selection activeCell="F29" sqref="F29"/>
      <pageMargins left="0.7" right="0.7" top="0.75" bottom="0.75" header="0.3" footer="0.3"/>
      <pageSetup paperSize="9" orientation="portrait" horizontalDpi="300" verticalDpi="300" r:id="rId16"/>
    </customSheetView>
    <customSheetView guid="{6B77031E-918C-40F9-A42D-E4EA46622624}" scale="115">
      <selection activeCell="F29" sqref="F29"/>
      <pageMargins left="0.7" right="0.7" top="0.75" bottom="0.75" header="0.3" footer="0.3"/>
      <pageSetup paperSize="9" orientation="portrait" horizontalDpi="300" verticalDpi="300" r:id="rId17"/>
    </customSheetView>
    <customSheetView guid="{77799D3C-38E2-410A-80FA-AECD8E6AB89B}" scale="115" showPageBreaks="1" printArea="1">
      <selection activeCell="F29" sqref="F29"/>
      <pageMargins left="0.7" right="0.7" top="0.75" bottom="0.75" header="0.3" footer="0.3"/>
      <pageSetup paperSize="9" orientation="portrait" horizontalDpi="300" verticalDpi="300" r:id="rId18"/>
    </customSheetView>
    <customSheetView guid="{32A281B9-28FB-4D0E-8C01-BFBADAC8C3C9}" scale="115" showPageBreaks="1" printArea="1">
      <selection activeCell="D19" sqref="D19"/>
      <pageMargins left="0.7" right="0.7" top="0.75" bottom="0.75" header="0.3" footer="0.3"/>
      <pageSetup paperSize="9" orientation="portrait" horizontalDpi="300" verticalDpi="300" r:id="rId19"/>
    </customSheetView>
  </customSheetViews>
  <mergeCells count="26">
    <mergeCell ref="J30:K30"/>
    <mergeCell ref="H30:I30"/>
    <mergeCell ref="A24:L24"/>
    <mergeCell ref="A25:A26"/>
    <mergeCell ref="B25:B26"/>
    <mergeCell ref="C25:C26"/>
    <mergeCell ref="D25:D26"/>
    <mergeCell ref="E25:E26"/>
    <mergeCell ref="F25:F26"/>
    <mergeCell ref="G25:G26"/>
    <mergeCell ref="H25:I25"/>
    <mergeCell ref="J25:K25"/>
    <mergeCell ref="L25:L26"/>
    <mergeCell ref="A3:L3"/>
    <mergeCell ref="I12:K12"/>
    <mergeCell ref="A16:L16"/>
    <mergeCell ref="H17:I17"/>
    <mergeCell ref="J17:K17"/>
    <mergeCell ref="D17:D18"/>
    <mergeCell ref="E17:E18"/>
    <mergeCell ref="F17:F18"/>
    <mergeCell ref="G17:G18"/>
    <mergeCell ref="C17:C18"/>
    <mergeCell ref="L17:L18"/>
    <mergeCell ref="B17:B18"/>
    <mergeCell ref="A17:A18"/>
  </mergeCells>
  <pageMargins left="0.7" right="0.7" top="0.75" bottom="0.75" header="0.3" footer="0.3"/>
  <pageSetup paperSize="9" orientation="portrait" horizontalDpi="300" verticalDpi="3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A22" zoomScale="85" zoomScaleNormal="85" workbookViewId="0">
      <selection activeCell="C30" sqref="C30"/>
    </sheetView>
  </sheetViews>
  <sheetFormatPr defaultColWidth="12.7109375" defaultRowHeight="15" x14ac:dyDescent="0.25"/>
  <cols>
    <col min="1" max="1" width="12.7109375" style="132" customWidth="1"/>
    <col min="2" max="2" width="27.28515625" style="132" customWidth="1"/>
    <col min="3" max="3" width="12.7109375" style="132"/>
    <col min="4" max="4" width="18.28515625" style="132" customWidth="1"/>
    <col min="5" max="5" width="17.28515625" style="132" customWidth="1"/>
    <col min="6" max="6" width="16.28515625" style="132" bestFit="1" customWidth="1"/>
    <col min="7" max="8" width="16.28515625" style="132" customWidth="1"/>
    <col min="9" max="10" width="14.28515625" style="132" bestFit="1" customWidth="1"/>
    <col min="11" max="11" width="15.7109375" style="132" customWidth="1"/>
    <col min="12" max="12" width="17.28515625" style="132" bestFit="1" customWidth="1"/>
    <col min="13" max="13" width="16.5703125" style="132" bestFit="1" customWidth="1"/>
    <col min="14" max="14" width="15.42578125" style="149" bestFit="1" customWidth="1"/>
    <col min="15" max="15" width="17.28515625" style="286" customWidth="1"/>
    <col min="16" max="17" width="12.7109375" style="286"/>
    <col min="18" max="18" width="13" style="286" bestFit="1" customWidth="1"/>
    <col min="19" max="19" width="16.5703125" style="286" bestFit="1" customWidth="1"/>
    <col min="20" max="20" width="14.28515625" style="286" bestFit="1" customWidth="1"/>
    <col min="21" max="21" width="18.7109375" style="132" customWidth="1"/>
    <col min="22" max="16384" width="12.7109375" style="132"/>
  </cols>
  <sheetData>
    <row r="1" spans="1:24" ht="15.75" customHeight="1" thickBot="1" x14ac:dyDescent="0.3">
      <c r="N1" s="135"/>
    </row>
    <row r="2" spans="1:24" ht="31.5" customHeight="1" thickBot="1" x14ac:dyDescent="0.3">
      <c r="A2" s="431" t="s">
        <v>17</v>
      </c>
      <c r="B2" s="432"/>
      <c r="C2" s="432"/>
      <c r="D2" s="432"/>
      <c r="E2" s="432"/>
      <c r="F2" s="432"/>
      <c r="G2" s="432"/>
      <c r="H2" s="432"/>
      <c r="I2" s="432"/>
      <c r="J2" s="432"/>
      <c r="K2" s="432"/>
      <c r="L2" s="432"/>
      <c r="M2" s="433"/>
      <c r="N2" s="135"/>
      <c r="O2" s="297"/>
      <c r="P2" s="297"/>
      <c r="Q2" s="297"/>
      <c r="R2" s="297"/>
      <c r="S2" s="297"/>
      <c r="T2" s="297"/>
    </row>
    <row r="3" spans="1:24" ht="60.75" customHeight="1" thickBot="1" x14ac:dyDescent="0.3">
      <c r="A3" s="440" t="s">
        <v>18</v>
      </c>
      <c r="B3" s="434" t="s">
        <v>19</v>
      </c>
      <c r="C3" s="434" t="s">
        <v>20</v>
      </c>
      <c r="D3" s="434" t="s">
        <v>21</v>
      </c>
      <c r="E3" s="434" t="s">
        <v>22</v>
      </c>
      <c r="F3" s="434" t="s">
        <v>23</v>
      </c>
      <c r="G3" s="438" t="s">
        <v>293</v>
      </c>
      <c r="H3" s="439"/>
      <c r="I3" s="434" t="s">
        <v>24</v>
      </c>
      <c r="J3" s="438" t="s">
        <v>25</v>
      </c>
      <c r="K3" s="439"/>
      <c r="L3" s="436" t="s">
        <v>26</v>
      </c>
      <c r="M3" s="434" t="s">
        <v>27</v>
      </c>
      <c r="N3" s="135"/>
      <c r="O3" s="298"/>
      <c r="P3" s="298"/>
      <c r="Q3" s="298"/>
      <c r="R3" s="298"/>
      <c r="S3" s="298"/>
      <c r="T3" s="299"/>
    </row>
    <row r="4" spans="1:24" ht="54" customHeight="1" x14ac:dyDescent="0.25">
      <c r="A4" s="441"/>
      <c r="B4" s="435"/>
      <c r="C4" s="435"/>
      <c r="D4" s="435"/>
      <c r="E4" s="435"/>
      <c r="F4" s="435"/>
      <c r="G4" s="223" t="s">
        <v>292</v>
      </c>
      <c r="H4" s="223" t="s">
        <v>294</v>
      </c>
      <c r="I4" s="435"/>
      <c r="J4" s="136" t="s">
        <v>28</v>
      </c>
      <c r="K4" s="136" t="s">
        <v>29</v>
      </c>
      <c r="L4" s="437"/>
      <c r="M4" s="435"/>
      <c r="N4" s="135"/>
      <c r="O4" s="300"/>
      <c r="P4" s="300"/>
      <c r="Q4" s="300"/>
      <c r="R4" s="300"/>
      <c r="S4" s="300"/>
      <c r="T4" s="207"/>
    </row>
    <row r="5" spans="1:24" ht="15.75" thickBot="1" x14ac:dyDescent="0.3">
      <c r="A5" s="442"/>
      <c r="B5" s="137"/>
      <c r="C5" s="138"/>
      <c r="D5" s="137"/>
      <c r="E5" s="137"/>
      <c r="F5" s="137" t="s">
        <v>30</v>
      </c>
      <c r="G5" s="137"/>
      <c r="H5" s="137"/>
      <c r="I5" s="137" t="s">
        <v>31</v>
      </c>
      <c r="J5" s="137" t="s">
        <v>32</v>
      </c>
      <c r="K5" s="137" t="s">
        <v>33</v>
      </c>
      <c r="L5" s="137" t="s">
        <v>34</v>
      </c>
      <c r="M5" s="137" t="s">
        <v>35</v>
      </c>
      <c r="N5" s="135"/>
      <c r="O5" s="301"/>
      <c r="P5" s="301"/>
      <c r="Q5" s="301"/>
      <c r="R5" s="302"/>
      <c r="S5" s="154"/>
      <c r="T5" s="207"/>
      <c r="U5" s="204"/>
    </row>
    <row r="6" spans="1:24" ht="15.75" thickBot="1" x14ac:dyDescent="0.3">
      <c r="A6" s="139"/>
      <c r="B6" s="137"/>
      <c r="C6" s="138"/>
      <c r="D6" s="137"/>
      <c r="E6" s="137"/>
      <c r="F6" s="137"/>
      <c r="G6" s="137"/>
      <c r="H6" s="137"/>
      <c r="I6" s="137"/>
      <c r="J6" s="137"/>
      <c r="K6" s="137"/>
      <c r="L6" s="137"/>
      <c r="M6" s="137"/>
      <c r="N6" s="135"/>
      <c r="O6" s="301"/>
      <c r="P6" s="301"/>
      <c r="Q6" s="301"/>
      <c r="R6" s="302"/>
      <c r="S6" s="154"/>
      <c r="T6" s="207"/>
    </row>
    <row r="7" spans="1:24" ht="47.25" customHeight="1" thickBot="1" x14ac:dyDescent="0.3">
      <c r="A7" s="201" t="s">
        <v>36</v>
      </c>
      <c r="B7" s="201" t="s">
        <v>37</v>
      </c>
      <c r="C7" s="193" t="s">
        <v>38</v>
      </c>
      <c r="D7" s="137" t="s">
        <v>39</v>
      </c>
      <c r="E7" s="196" t="s">
        <v>40</v>
      </c>
      <c r="F7" s="202">
        <v>13901013</v>
      </c>
      <c r="G7" s="236">
        <v>11716767</v>
      </c>
      <c r="H7" s="226">
        <v>2184246</v>
      </c>
      <c r="I7" s="140">
        <f>+J7+K7</f>
        <v>5957577</v>
      </c>
      <c r="J7" s="140">
        <v>5957577</v>
      </c>
      <c r="K7" s="224"/>
      <c r="L7" s="140">
        <f>+F7+I7</f>
        <v>19858590</v>
      </c>
      <c r="M7" s="324">
        <f>+F7/L7</f>
        <v>0.7</v>
      </c>
      <c r="N7" s="135"/>
      <c r="O7" s="301"/>
      <c r="P7" s="301"/>
      <c r="Q7" s="301"/>
      <c r="R7" s="302"/>
      <c r="S7" s="154"/>
      <c r="T7" s="207"/>
      <c r="U7" s="143"/>
    </row>
    <row r="8" spans="1:24" ht="56.25" customHeight="1" thickBot="1" x14ac:dyDescent="0.3">
      <c r="A8" s="201" t="s">
        <v>41</v>
      </c>
      <c r="B8" s="201" t="s">
        <v>42</v>
      </c>
      <c r="C8" s="193" t="s">
        <v>43</v>
      </c>
      <c r="D8" s="137" t="s">
        <v>44</v>
      </c>
      <c r="E8" s="196" t="s">
        <v>45</v>
      </c>
      <c r="F8" s="202">
        <v>86378487</v>
      </c>
      <c r="G8" s="236">
        <v>72549634</v>
      </c>
      <c r="H8" s="226">
        <v>13828853</v>
      </c>
      <c r="I8" s="140">
        <f>+J8+K8</f>
        <v>15243263</v>
      </c>
      <c r="J8" s="140">
        <v>15243263</v>
      </c>
      <c r="K8" s="224"/>
      <c r="L8" s="140">
        <f>+F8+I8</f>
        <v>101621750</v>
      </c>
      <c r="M8" s="324">
        <f>+F8/L8</f>
        <v>0.8499999950797934</v>
      </c>
      <c r="N8" s="135"/>
      <c r="O8" s="301"/>
      <c r="P8" s="301"/>
      <c r="Q8" s="301"/>
      <c r="R8" s="302"/>
      <c r="S8" s="154"/>
      <c r="T8" s="206"/>
      <c r="U8" s="203"/>
    </row>
    <row r="9" spans="1:24" ht="32.25" customHeight="1" thickBot="1" x14ac:dyDescent="0.3">
      <c r="A9" s="443" t="s">
        <v>46</v>
      </c>
      <c r="B9" s="444"/>
      <c r="C9" s="144"/>
      <c r="D9" s="145"/>
      <c r="E9" s="196" t="s">
        <v>47</v>
      </c>
      <c r="F9" s="146"/>
      <c r="G9" s="237"/>
      <c r="H9" s="146"/>
      <c r="I9" s="147">
        <f t="shared" ref="I9:I16" si="0">+J9+K9</f>
        <v>0</v>
      </c>
      <c r="J9" s="146"/>
      <c r="K9" s="225"/>
      <c r="L9" s="140">
        <f t="shared" ref="L9:L16" si="1">+F9+I9</f>
        <v>0</v>
      </c>
      <c r="M9" s="324">
        <v>0</v>
      </c>
      <c r="N9" s="135"/>
      <c r="O9" s="301"/>
      <c r="P9" s="301"/>
      <c r="Q9" s="301"/>
      <c r="R9" s="302"/>
      <c r="S9" s="154"/>
      <c r="T9" s="208"/>
      <c r="U9" s="143"/>
      <c r="V9" s="143"/>
      <c r="W9" s="143"/>
      <c r="X9" s="143"/>
    </row>
    <row r="10" spans="1:24" ht="32.25" customHeight="1" thickBot="1" x14ac:dyDescent="0.3">
      <c r="A10" s="445"/>
      <c r="B10" s="446"/>
      <c r="C10" s="144"/>
      <c r="D10" s="145"/>
      <c r="E10" s="196" t="s">
        <v>48</v>
      </c>
      <c r="F10" s="140">
        <f t="shared" ref="F10:H11" si="2">+F7</f>
        <v>13901013</v>
      </c>
      <c r="G10" s="236">
        <f t="shared" si="2"/>
        <v>11716767</v>
      </c>
      <c r="H10" s="226">
        <f t="shared" si="2"/>
        <v>2184246</v>
      </c>
      <c r="I10" s="140">
        <f>+J10+K10</f>
        <v>5957577</v>
      </c>
      <c r="J10" s="140">
        <f>+J7</f>
        <v>5957577</v>
      </c>
      <c r="K10" s="225"/>
      <c r="L10" s="140">
        <f t="shared" si="1"/>
        <v>19858590</v>
      </c>
      <c r="M10" s="324">
        <f t="shared" ref="M10:M11" si="3">+F10/L10</f>
        <v>0.7</v>
      </c>
      <c r="N10" s="135">
        <f>+L10*1.95583</f>
        <v>38840026.079700001</v>
      </c>
      <c r="O10" s="301"/>
      <c r="P10" s="301"/>
      <c r="Q10" s="301"/>
      <c r="R10" s="302"/>
      <c r="S10" s="154"/>
      <c r="T10" s="209"/>
      <c r="U10" s="129"/>
      <c r="V10" s="135"/>
      <c r="W10" s="143"/>
      <c r="X10" s="143"/>
    </row>
    <row r="11" spans="1:24" ht="32.25" customHeight="1" thickBot="1" x14ac:dyDescent="0.3">
      <c r="A11" s="445"/>
      <c r="B11" s="446"/>
      <c r="C11" s="144"/>
      <c r="D11" s="145"/>
      <c r="E11" s="196" t="s">
        <v>49</v>
      </c>
      <c r="F11" s="140">
        <f t="shared" si="2"/>
        <v>86378487</v>
      </c>
      <c r="G11" s="236">
        <f t="shared" si="2"/>
        <v>72549634</v>
      </c>
      <c r="H11" s="226">
        <f t="shared" si="2"/>
        <v>13828853</v>
      </c>
      <c r="I11" s="140">
        <f>+J11+K11</f>
        <v>15243263</v>
      </c>
      <c r="J11" s="140">
        <f>+J8</f>
        <v>15243263</v>
      </c>
      <c r="K11" s="224"/>
      <c r="L11" s="140">
        <f t="shared" si="1"/>
        <v>101621750</v>
      </c>
      <c r="M11" s="325">
        <f t="shared" si="3"/>
        <v>0.8499999950797934</v>
      </c>
      <c r="N11" s="135">
        <f>+L11*1.95583</f>
        <v>198754867.30250001</v>
      </c>
      <c r="O11" s="301"/>
      <c r="P11" s="301"/>
      <c r="Q11" s="301"/>
      <c r="R11" s="302"/>
      <c r="S11" s="154"/>
      <c r="T11" s="210"/>
      <c r="U11" s="129"/>
      <c r="V11" s="135"/>
      <c r="W11" s="143"/>
      <c r="X11" s="143"/>
    </row>
    <row r="12" spans="1:24" ht="15.75" thickBot="1" x14ac:dyDescent="0.3">
      <c r="A12" s="447"/>
      <c r="B12" s="448"/>
      <c r="C12" s="144"/>
      <c r="D12" s="145"/>
      <c r="E12" s="196" t="s">
        <v>50</v>
      </c>
      <c r="F12" s="146"/>
      <c r="G12" s="146"/>
      <c r="H12" s="146"/>
      <c r="I12" s="147">
        <f t="shared" si="0"/>
        <v>0</v>
      </c>
      <c r="J12" s="146"/>
      <c r="K12" s="225"/>
      <c r="L12" s="140">
        <f t="shared" si="1"/>
        <v>0</v>
      </c>
      <c r="M12" s="148"/>
      <c r="N12" s="135"/>
      <c r="O12" s="301"/>
      <c r="P12" s="301"/>
      <c r="Q12" s="301"/>
      <c r="R12" s="302"/>
      <c r="S12" s="154"/>
      <c r="T12" s="206"/>
      <c r="U12" s="129"/>
      <c r="V12" s="135"/>
      <c r="W12" s="143"/>
      <c r="X12" s="143"/>
    </row>
    <row r="13" spans="1:24" ht="32.25" customHeight="1" thickBot="1" x14ac:dyDescent="0.3">
      <c r="A13" s="449" t="s">
        <v>51</v>
      </c>
      <c r="B13" s="450"/>
      <c r="C13" s="144"/>
      <c r="D13" s="145"/>
      <c r="E13" s="194" t="s">
        <v>52</v>
      </c>
      <c r="F13" s="140"/>
      <c r="G13" s="140"/>
      <c r="H13" s="140"/>
      <c r="I13" s="140">
        <f t="shared" si="0"/>
        <v>0</v>
      </c>
      <c r="J13" s="140"/>
      <c r="K13" s="137"/>
      <c r="L13" s="140">
        <f t="shared" si="1"/>
        <v>0</v>
      </c>
      <c r="M13" s="148"/>
      <c r="N13" s="135"/>
      <c r="S13" s="303"/>
      <c r="T13" s="287"/>
      <c r="U13" s="129"/>
      <c r="V13" s="135"/>
      <c r="W13" s="143"/>
      <c r="X13" s="143"/>
    </row>
    <row r="14" spans="1:24" ht="32.25" customHeight="1" thickBot="1" x14ac:dyDescent="0.3">
      <c r="A14" s="445"/>
      <c r="B14" s="446"/>
      <c r="C14" s="144"/>
      <c r="D14" s="145"/>
      <c r="E14" s="194" t="s">
        <v>53</v>
      </c>
      <c r="F14" s="140"/>
      <c r="G14" s="140"/>
      <c r="H14" s="140"/>
      <c r="I14" s="140">
        <f t="shared" si="0"/>
        <v>0</v>
      </c>
      <c r="J14" s="140"/>
      <c r="K14" s="137"/>
      <c r="L14" s="140">
        <f>+F14+I14</f>
        <v>0</v>
      </c>
      <c r="M14" s="148"/>
      <c r="N14" s="135"/>
      <c r="Q14" s="288"/>
      <c r="S14" s="303"/>
      <c r="T14" s="287"/>
      <c r="U14" s="135"/>
      <c r="V14" s="211"/>
      <c r="W14" s="143"/>
      <c r="X14" s="143"/>
    </row>
    <row r="15" spans="1:24" ht="32.25" customHeight="1" thickBot="1" x14ac:dyDescent="0.3">
      <c r="A15" s="445"/>
      <c r="B15" s="446"/>
      <c r="C15" s="144"/>
      <c r="D15" s="145"/>
      <c r="E15" s="194" t="s">
        <v>54</v>
      </c>
      <c r="F15" s="140"/>
      <c r="G15" s="140"/>
      <c r="H15" s="140"/>
      <c r="I15" s="140">
        <f t="shared" si="0"/>
        <v>0</v>
      </c>
      <c r="J15" s="140"/>
      <c r="K15" s="141"/>
      <c r="L15" s="140">
        <f>+F15+I15</f>
        <v>0</v>
      </c>
      <c r="M15" s="148"/>
      <c r="N15" s="135"/>
      <c r="O15" s="289"/>
      <c r="P15" s="143"/>
      <c r="Q15" s="288"/>
      <c r="R15" s="143"/>
      <c r="S15" s="303"/>
      <c r="T15" s="290"/>
    </row>
    <row r="16" spans="1:24" ht="68.25" thickBot="1" x14ac:dyDescent="0.3">
      <c r="A16" s="447"/>
      <c r="B16" s="448"/>
      <c r="C16" s="144"/>
      <c r="D16" s="145"/>
      <c r="E16" s="194" t="s">
        <v>55</v>
      </c>
      <c r="F16" s="137"/>
      <c r="G16" s="137"/>
      <c r="H16" s="137"/>
      <c r="I16" s="147">
        <f t="shared" si="0"/>
        <v>0</v>
      </c>
      <c r="J16" s="146"/>
      <c r="K16" s="137"/>
      <c r="L16" s="147">
        <f t="shared" si="1"/>
        <v>0</v>
      </c>
      <c r="M16" s="148"/>
      <c r="N16" s="135"/>
      <c r="O16" s="289"/>
      <c r="P16" s="291"/>
      <c r="Q16" s="291"/>
      <c r="R16" s="292"/>
      <c r="S16" s="135"/>
      <c r="T16" s="143"/>
    </row>
    <row r="17" spans="1:20" ht="15.75" thickBot="1" x14ac:dyDescent="0.3">
      <c r="A17" s="453" t="s">
        <v>56</v>
      </c>
      <c r="B17" s="454"/>
      <c r="C17" s="144"/>
      <c r="D17" s="145" t="s">
        <v>57</v>
      </c>
      <c r="E17" s="192"/>
      <c r="F17" s="137"/>
      <c r="G17" s="137"/>
      <c r="H17" s="137"/>
      <c r="I17" s="146"/>
      <c r="J17" s="146"/>
      <c r="K17" s="137"/>
      <c r="L17" s="146"/>
      <c r="M17" s="142"/>
      <c r="O17" s="289"/>
      <c r="P17" s="291"/>
      <c r="Q17" s="291"/>
      <c r="R17" s="292"/>
      <c r="S17" s="135"/>
      <c r="T17" s="143"/>
    </row>
    <row r="18" spans="1:20" ht="15.75" thickBot="1" x14ac:dyDescent="0.3">
      <c r="A18" s="451" t="s">
        <v>58</v>
      </c>
      <c r="B18" s="452"/>
      <c r="C18" s="144"/>
      <c r="D18" s="150"/>
      <c r="E18" s="192"/>
      <c r="F18" s="151">
        <f>+F10+F11</f>
        <v>100279500</v>
      </c>
      <c r="G18" s="151">
        <f t="shared" ref="G18" si="4">+G10+G11</f>
        <v>84266401</v>
      </c>
      <c r="H18" s="151">
        <f>+H10+H11</f>
        <v>16013099</v>
      </c>
      <c r="I18" s="151">
        <f t="shared" ref="I18:L18" si="5">+I10+I11</f>
        <v>21200840</v>
      </c>
      <c r="J18" s="151">
        <f t="shared" si="5"/>
        <v>21200840</v>
      </c>
      <c r="K18" s="151"/>
      <c r="L18" s="151">
        <f t="shared" si="5"/>
        <v>121480340</v>
      </c>
      <c r="M18" s="152">
        <f>+F18/L18</f>
        <v>0.8254792503873466</v>
      </c>
      <c r="N18" s="265">
        <f>+L18*1.95583</f>
        <v>237594893.3822</v>
      </c>
      <c r="O18" s="289"/>
      <c r="P18" s="291"/>
      <c r="Q18" s="291"/>
      <c r="R18" s="292"/>
      <c r="S18" s="143"/>
      <c r="T18" s="143"/>
    </row>
    <row r="19" spans="1:20" x14ac:dyDescent="0.25">
      <c r="M19" s="132">
        <v>0.82547925038734704</v>
      </c>
      <c r="P19" s="291"/>
      <c r="Q19" s="291"/>
      <c r="R19" s="292"/>
      <c r="S19" s="143"/>
      <c r="T19" s="143"/>
    </row>
    <row r="20" spans="1:20" ht="107.25" customHeight="1" x14ac:dyDescent="0.25">
      <c r="G20" s="423" t="s">
        <v>295</v>
      </c>
      <c r="H20" s="423"/>
      <c r="I20" s="423"/>
      <c r="J20" s="355"/>
      <c r="K20" s="358"/>
      <c r="M20" s="221"/>
      <c r="P20" s="289"/>
      <c r="Q20" s="289"/>
      <c r="R20" s="293"/>
      <c r="S20" s="143"/>
      <c r="T20" s="143"/>
    </row>
    <row r="21" spans="1:20" ht="15.75" x14ac:dyDescent="0.25">
      <c r="E21" s="153"/>
      <c r="F21" s="153"/>
      <c r="G21" s="153"/>
      <c r="H21" s="153"/>
      <c r="I21" s="153"/>
      <c r="J21" s="356"/>
      <c r="K21" s="359"/>
      <c r="L21" s="154"/>
      <c r="M21" s="221"/>
      <c r="P21" s="143"/>
      <c r="Q21" s="143"/>
      <c r="R21" s="143"/>
      <c r="S21" s="143"/>
      <c r="T21" s="143"/>
    </row>
    <row r="22" spans="1:20" ht="15.75" x14ac:dyDescent="0.25">
      <c r="E22" s="153"/>
      <c r="F22" s="153"/>
      <c r="G22" s="153"/>
      <c r="H22" s="153"/>
      <c r="I22" s="153"/>
      <c r="J22" s="357"/>
      <c r="K22" s="360"/>
      <c r="L22" s="155"/>
      <c r="M22" s="221"/>
      <c r="P22" s="143"/>
      <c r="Q22" s="143"/>
      <c r="R22" s="143"/>
      <c r="S22" s="143"/>
      <c r="T22" s="143"/>
    </row>
    <row r="23" spans="1:20" ht="15.75" x14ac:dyDescent="0.25">
      <c r="E23" s="156"/>
      <c r="F23" s="156"/>
      <c r="G23" s="156"/>
      <c r="H23" s="156"/>
      <c r="I23" s="156"/>
      <c r="J23" s="156"/>
      <c r="K23" s="156"/>
      <c r="L23" s="157"/>
      <c r="M23" s="221"/>
      <c r="P23" s="143"/>
      <c r="Q23" s="143"/>
      <c r="R23" s="143"/>
      <c r="S23" s="143"/>
      <c r="T23" s="143"/>
    </row>
    <row r="24" spans="1:20" ht="15.75" customHeight="1" x14ac:dyDescent="0.25">
      <c r="E24" s="218"/>
      <c r="F24" s="218"/>
      <c r="G24" s="218"/>
      <c r="H24" s="296"/>
      <c r="I24" s="219"/>
      <c r="J24" s="219"/>
      <c r="K24" s="221"/>
      <c r="L24" s="222"/>
      <c r="M24" s="221"/>
      <c r="N24" s="219"/>
      <c r="P24" s="143"/>
      <c r="Q24" s="143"/>
      <c r="R24" s="143"/>
      <c r="S24" s="143"/>
      <c r="T24" s="143"/>
    </row>
    <row r="25" spans="1:20" ht="15.75" x14ac:dyDescent="0.25">
      <c r="E25" s="218"/>
      <c r="F25" s="218"/>
      <c r="G25" s="218"/>
      <c r="H25" s="135"/>
      <c r="I25" s="149"/>
      <c r="J25" s="149"/>
      <c r="K25" s="159"/>
      <c r="L25" s="158"/>
      <c r="M25" s="159"/>
      <c r="N25" s="219"/>
      <c r="P25" s="143"/>
      <c r="Q25" s="143"/>
      <c r="R25" s="143"/>
      <c r="S25" s="143"/>
      <c r="T25" s="143"/>
    </row>
    <row r="26" spans="1:20" ht="15.75" x14ac:dyDescent="0.25">
      <c r="E26" s="220"/>
      <c r="F26" s="218"/>
      <c r="G26" s="218"/>
      <c r="H26" s="135"/>
      <c r="I26" s="149"/>
      <c r="J26" s="149"/>
      <c r="K26" s="143"/>
      <c r="L26" s="143"/>
      <c r="M26" s="143"/>
      <c r="N26" s="219"/>
      <c r="P26" s="143"/>
      <c r="Q26" s="143"/>
      <c r="R26" s="143"/>
      <c r="S26" s="143"/>
      <c r="T26" s="143"/>
    </row>
    <row r="27" spans="1:20" ht="15.75" x14ac:dyDescent="0.25">
      <c r="E27" s="221"/>
      <c r="F27" s="218"/>
      <c r="G27" s="218"/>
      <c r="H27" s="135"/>
      <c r="I27" s="149"/>
      <c r="J27" s="149"/>
      <c r="K27" s="143"/>
      <c r="L27" s="143"/>
      <c r="M27" s="143"/>
      <c r="N27" s="219"/>
      <c r="P27" s="143"/>
      <c r="Q27" s="143"/>
      <c r="R27" s="143"/>
      <c r="S27" s="143"/>
      <c r="T27" s="143"/>
    </row>
    <row r="28" spans="1:20" ht="15.75" thickBot="1" x14ac:dyDescent="0.3">
      <c r="N28" s="132"/>
      <c r="P28" s="289"/>
      <c r="Q28" s="289"/>
    </row>
    <row r="29" spans="1:20" ht="15.75" thickBot="1" x14ac:dyDescent="0.3">
      <c r="B29" s="431" t="s">
        <v>476</v>
      </c>
      <c r="C29" s="432"/>
      <c r="D29" s="432"/>
      <c r="E29" s="432"/>
      <c r="F29" s="432"/>
      <c r="G29" s="432"/>
      <c r="H29" s="432"/>
      <c r="I29" s="432"/>
      <c r="J29" s="432"/>
      <c r="K29" s="432"/>
      <c r="L29" s="432"/>
      <c r="M29" s="432"/>
      <c r="N29" s="433"/>
    </row>
    <row r="30" spans="1:20" ht="103.5" customHeight="1" thickBot="1" x14ac:dyDescent="0.3">
      <c r="B30" s="369" t="s">
        <v>460</v>
      </c>
      <c r="C30" s="361" t="s">
        <v>19</v>
      </c>
      <c r="D30" s="361" t="s">
        <v>461</v>
      </c>
      <c r="E30" s="361" t="s">
        <v>3</v>
      </c>
      <c r="F30" s="361" t="s">
        <v>462</v>
      </c>
      <c r="G30" s="361" t="s">
        <v>463</v>
      </c>
      <c r="H30" s="365" t="s">
        <v>464</v>
      </c>
      <c r="I30" s="366"/>
      <c r="J30" s="361" t="s">
        <v>24</v>
      </c>
      <c r="K30" s="365" t="s">
        <v>465</v>
      </c>
      <c r="L30" s="366"/>
      <c r="M30" s="363" t="s">
        <v>5</v>
      </c>
      <c r="N30" s="361" t="s">
        <v>27</v>
      </c>
    </row>
    <row r="31" spans="1:20" ht="53.25" customHeight="1" x14ac:dyDescent="0.25">
      <c r="B31" s="370"/>
      <c r="C31" s="362"/>
      <c r="D31" s="362"/>
      <c r="E31" s="362"/>
      <c r="F31" s="362"/>
      <c r="G31" s="362"/>
      <c r="H31" s="364" t="s">
        <v>466</v>
      </c>
      <c r="I31" s="364" t="s">
        <v>467</v>
      </c>
      <c r="J31" s="362"/>
      <c r="K31" s="364" t="s">
        <v>468</v>
      </c>
      <c r="L31" s="364" t="s">
        <v>469</v>
      </c>
      <c r="M31" s="364"/>
      <c r="N31" s="362"/>
    </row>
    <row r="32" spans="1:20" ht="15.75" thickBot="1" x14ac:dyDescent="0.3">
      <c r="B32" s="371"/>
      <c r="C32" s="137"/>
      <c r="D32" s="138"/>
      <c r="E32" s="137"/>
      <c r="F32" s="137"/>
      <c r="G32" s="137" t="s">
        <v>30</v>
      </c>
      <c r="H32" s="137" t="s">
        <v>470</v>
      </c>
      <c r="I32" s="137" t="s">
        <v>471</v>
      </c>
      <c r="J32" s="137" t="s">
        <v>31</v>
      </c>
      <c r="K32" s="137" t="s">
        <v>32</v>
      </c>
      <c r="L32" s="137" t="s">
        <v>33</v>
      </c>
      <c r="M32" s="137" t="s">
        <v>472</v>
      </c>
      <c r="N32" s="137" t="s">
        <v>473</v>
      </c>
    </row>
    <row r="33" spans="2:14" ht="15.75" thickBot="1" x14ac:dyDescent="0.3">
      <c r="B33" s="139"/>
      <c r="C33" s="137"/>
      <c r="D33" s="138"/>
      <c r="E33" s="137"/>
      <c r="F33" s="137"/>
      <c r="G33" s="137"/>
      <c r="H33" s="137"/>
      <c r="I33" s="137"/>
      <c r="J33" s="137"/>
      <c r="K33" s="137"/>
      <c r="L33" s="137"/>
      <c r="M33" s="137"/>
      <c r="N33" s="137"/>
    </row>
    <row r="34" spans="2:14" ht="64.5" thickBot="1" x14ac:dyDescent="0.3">
      <c r="B34" s="201" t="s">
        <v>474</v>
      </c>
      <c r="C34" s="201" t="s">
        <v>37</v>
      </c>
      <c r="D34" s="193" t="s">
        <v>475</v>
      </c>
      <c r="E34" s="137" t="s">
        <v>39</v>
      </c>
      <c r="F34" s="196" t="s">
        <v>40</v>
      </c>
      <c r="G34" s="202">
        <f>+H34+I34</f>
        <v>13901013</v>
      </c>
      <c r="H34" s="236">
        <v>11716767</v>
      </c>
      <c r="I34" s="226">
        <v>2184246</v>
      </c>
      <c r="J34" s="140">
        <f>+K34+L34</f>
        <v>5957577</v>
      </c>
      <c r="K34" s="140">
        <v>5957577</v>
      </c>
      <c r="L34" s="224"/>
      <c r="M34" s="140">
        <f>+G34+J34</f>
        <v>19858590</v>
      </c>
      <c r="N34" s="373">
        <f>+G34/M34</f>
        <v>0.7</v>
      </c>
    </row>
    <row r="35" spans="2:14" ht="64.5" thickBot="1" x14ac:dyDescent="0.3">
      <c r="B35" s="201" t="s">
        <v>474</v>
      </c>
      <c r="C35" s="201" t="s">
        <v>37</v>
      </c>
      <c r="D35" s="193" t="s">
        <v>475</v>
      </c>
      <c r="E35" s="137" t="s">
        <v>39</v>
      </c>
      <c r="F35" s="196" t="s">
        <v>45</v>
      </c>
      <c r="G35" s="202">
        <f>+H35+I35</f>
        <v>86378487</v>
      </c>
      <c r="H35" s="236">
        <v>72549634</v>
      </c>
      <c r="I35" s="226">
        <v>13828853</v>
      </c>
      <c r="J35" s="140">
        <f>+K35+L35</f>
        <v>15243263</v>
      </c>
      <c r="K35" s="140">
        <v>15243263</v>
      </c>
      <c r="L35" s="224"/>
      <c r="M35" s="140">
        <f>+G35+J35</f>
        <v>101621750</v>
      </c>
      <c r="N35" s="373">
        <f>+G35/M35</f>
        <v>0.8499999950797934</v>
      </c>
    </row>
    <row r="36" spans="2:14" ht="15.75" thickBot="1" x14ac:dyDescent="0.3">
      <c r="B36" s="367" t="s">
        <v>5</v>
      </c>
      <c r="C36" s="368"/>
      <c r="D36" s="144"/>
      <c r="E36" s="150"/>
      <c r="F36" s="192"/>
      <c r="G36" s="151">
        <f>+G34+G35</f>
        <v>100279500</v>
      </c>
      <c r="H36" s="151">
        <f t="shared" ref="H36:M36" si="6">+H34+H35</f>
        <v>84266401</v>
      </c>
      <c r="I36" s="151">
        <f t="shared" si="6"/>
        <v>16013099</v>
      </c>
      <c r="J36" s="151">
        <f t="shared" si="6"/>
        <v>21200840</v>
      </c>
      <c r="K36" s="151">
        <f t="shared" si="6"/>
        <v>21200840</v>
      </c>
      <c r="L36" s="151"/>
      <c r="M36" s="151">
        <f t="shared" si="6"/>
        <v>121480340</v>
      </c>
      <c r="N36" s="374">
        <f>+G36/M36</f>
        <v>0.8254792503873466</v>
      </c>
    </row>
    <row r="37" spans="2:14" x14ac:dyDescent="0.25">
      <c r="F37" s="143"/>
      <c r="G37" s="143"/>
      <c r="H37" s="143"/>
      <c r="I37" s="159"/>
      <c r="J37" s="160"/>
      <c r="K37" s="159"/>
      <c r="L37" s="143"/>
    </row>
    <row r="38" spans="2:14" x14ac:dyDescent="0.25">
      <c r="F38" s="143"/>
      <c r="G38" s="143"/>
      <c r="H38" s="143"/>
      <c r="I38" s="159"/>
      <c r="J38" s="161"/>
      <c r="K38" s="160"/>
      <c r="L38" s="143"/>
    </row>
    <row r="39" spans="2:14" x14ac:dyDescent="0.25">
      <c r="F39" s="143"/>
      <c r="G39" s="143"/>
      <c r="H39" s="143"/>
      <c r="I39" s="143"/>
      <c r="J39" s="143"/>
      <c r="K39" s="143"/>
      <c r="L39" s="143"/>
    </row>
    <row r="40" spans="2:14" x14ac:dyDescent="0.25">
      <c r="F40" s="143"/>
      <c r="G40" s="143"/>
      <c r="H40" s="143"/>
      <c r="I40" s="143"/>
      <c r="J40" s="156"/>
      <c r="K40" s="156"/>
      <c r="L40" s="143"/>
    </row>
    <row r="41" spans="2:14" x14ac:dyDescent="0.25">
      <c r="F41" s="143"/>
      <c r="G41" s="143"/>
      <c r="H41" s="143"/>
      <c r="I41" s="143"/>
      <c r="J41" s="143"/>
      <c r="K41" s="143"/>
      <c r="L41" s="143"/>
    </row>
    <row r="42" spans="2:14" x14ac:dyDescent="0.25">
      <c r="F42" s="143"/>
      <c r="G42" s="143"/>
      <c r="H42" s="143"/>
      <c r="I42" s="143"/>
      <c r="J42" s="143"/>
      <c r="K42" s="143"/>
      <c r="L42" s="143"/>
    </row>
    <row r="43" spans="2:14" x14ac:dyDescent="0.25">
      <c r="F43" s="143"/>
      <c r="G43" s="143"/>
      <c r="H43" s="143"/>
      <c r="I43" s="143"/>
      <c r="J43" s="143"/>
      <c r="K43" s="143"/>
      <c r="L43" s="143"/>
    </row>
    <row r="44" spans="2:14" x14ac:dyDescent="0.25">
      <c r="F44" s="143"/>
      <c r="G44" s="143"/>
      <c r="H44" s="143"/>
      <c r="I44" s="143"/>
      <c r="J44" s="143"/>
      <c r="K44" s="143"/>
      <c r="L44" s="143"/>
    </row>
  </sheetData>
  <customSheetViews>
    <customSheetView guid="{6BEE494D-3BDB-46C2-9750-A57C1F94B9B8}" topLeftCell="B19">
      <selection activeCell="B29" sqref="B29:N29"/>
      <pageMargins left="0.7" right="0.7" top="0.75" bottom="0.75" header="0.3" footer="0.3"/>
      <pageSetup paperSize="9" orientation="portrait" horizontalDpi="300" verticalDpi="300" r:id="rId1"/>
    </customSheetView>
    <customSheetView guid="{B426F9F8-EB1A-4D7B-9478-7E22D414CC12}" showPageBreaks="1" printArea="1" topLeftCell="A4">
      <selection activeCell="N8" sqref="N8"/>
      <pageMargins left="0.7" right="0.7" top="0.75" bottom="0.75" header="0.3" footer="0.3"/>
      <pageSetup paperSize="9" orientation="portrait" horizontalDpi="300" verticalDpi="300" r:id="rId2"/>
    </customSheetView>
    <customSheetView guid="{13EBDE9D-EC74-4522-9EED-363E735B4A78}" showPageBreaks="1" printArea="1" topLeftCell="B10">
      <selection activeCell="K20" sqref="K20:K22"/>
      <pageMargins left="0.7" right="0.7" top="0.75" bottom="0.75" header="0.3" footer="0.3"/>
      <pageSetup paperSize="9" orientation="portrait" horizontalDpi="300" verticalDpi="300" r:id="rId3"/>
    </customSheetView>
    <customSheetView guid="{F67C426D-26F1-4B15-961D-40AFD17A9EE3}" showPageBreaks="1" printArea="1" topLeftCell="E16">
      <selection activeCell="L18" sqref="L18"/>
      <pageMargins left="0.7" right="0.7" top="0.75" bottom="0.75" header="0.3" footer="0.3"/>
      <pageSetup paperSize="9" orientation="portrait" horizontalDpi="300" verticalDpi="300" r:id="rId4"/>
    </customSheetView>
    <customSheetView guid="{B777B674-73ED-4225-A0AA-917FDFF5A819}" topLeftCell="E16">
      <selection activeCell="L18" sqref="L18"/>
      <pageMargins left="0.7" right="0.7" top="0.75" bottom="0.75" header="0.3" footer="0.3"/>
      <pageSetup paperSize="9" orientation="portrait" horizontalDpi="300" verticalDpi="300" r:id="rId5"/>
    </customSheetView>
    <customSheetView guid="{DE1004AE-EE6B-445B-9B87-77176E699CEC}" topLeftCell="E16">
      <selection activeCell="L18" sqref="L18"/>
      <pageMargins left="0.7" right="0.7" top="0.75" bottom="0.75" header="0.3" footer="0.3"/>
      <pageSetup paperSize="9" orientation="portrait" horizontalDpi="300" verticalDpi="300" r:id="rId6"/>
    </customSheetView>
    <customSheetView guid="{7FBA698A-B4F9-473C-A697-22EC99EC7386}" topLeftCell="G1">
      <selection activeCell="N8" sqref="N8"/>
      <pageMargins left="0.7" right="0.7" top="0.75" bottom="0.75" header="0.3" footer="0.3"/>
      <pageSetup paperSize="9" orientation="portrait" horizontalDpi="300" verticalDpi="300" r:id="rId7"/>
    </customSheetView>
    <customSheetView guid="{53CF95D2-2F99-49E8-AB7F-7627DCDE0DC8}" topLeftCell="E1">
      <selection activeCell="L18" sqref="L18"/>
      <pageMargins left="0.7" right="0.7" top="0.75" bottom="0.75" header="0.3" footer="0.3"/>
      <pageSetup paperSize="9" orientation="portrait" horizontalDpi="300" verticalDpi="300" r:id="rId8"/>
    </customSheetView>
    <customSheetView guid="{AD504361-49F3-4986-BDBF-FB73E2299976}" showPageBreaks="1" printArea="1" topLeftCell="A4">
      <selection activeCell="M16" sqref="M16:Q16"/>
      <pageMargins left="0.7" right="0.7" top="0.75" bottom="0.75" header="0.3" footer="0.3"/>
      <pageSetup paperSize="9" orientation="portrait" horizontalDpi="300" verticalDpi="300" r:id="rId9"/>
    </customSheetView>
    <customSheetView guid="{DD0EA6D3-BC8C-40D3-B12F-B88059C8E3DC}" topLeftCell="G1">
      <selection activeCell="N8" sqref="N8"/>
      <pageMargins left="0.7" right="0.7" top="0.75" bottom="0.75" header="0.3" footer="0.3"/>
      <pageSetup paperSize="9" orientation="portrait" horizontalDpi="300" verticalDpi="300" r:id="rId10"/>
    </customSheetView>
    <customSheetView guid="{72B67681-E295-44ED-80A6-F4B618B242B1}">
      <selection activeCell="C24" sqref="C24"/>
    </customSheetView>
    <customSheetView guid="{9CD5F6CE-0E1C-42DA-A598-93523B740CBC}" showPageBreaks="1" printArea="1">
      <selection activeCell="D9" sqref="D9"/>
      <pageMargins left="0.7" right="0.7" top="0.75" bottom="0.75" header="0.3" footer="0.3"/>
      <pageSetup paperSize="9" orientation="portrait" horizontalDpi="300" verticalDpi="300" r:id="rId11"/>
    </customSheetView>
    <customSheetView guid="{E07B67F4-8A17-4050-B9B8-81977BCB02E2}" showPageBreaks="1" printArea="1" topLeftCell="G10">
      <selection activeCell="G27" sqref="G27"/>
      <pageMargins left="0.7" right="0.7" top="0.75" bottom="0.75" header="0.3" footer="0.3"/>
      <pageSetup paperSize="9" orientation="portrait" horizontalDpi="300" verticalDpi="300" r:id="rId12"/>
    </customSheetView>
    <customSheetView guid="{2A6315F5-C9A2-43A7-B337-00FD30A3EB26}" showPageBreaks="1" printArea="1">
      <selection activeCell="C24" sqref="C24"/>
      <pageMargins left="0.7" right="0.7" top="0.75" bottom="0.75" header="0.3" footer="0.3"/>
      <pageSetup paperSize="9" orientation="portrait" horizontalDpi="300" verticalDpi="300" r:id="rId13"/>
    </customSheetView>
    <customSheetView guid="{D1BD168D-40B4-46AB-88B7-64C22520CFA0}" scale="85" showPageBreaks="1" printArea="1">
      <selection activeCell="F19" sqref="F19"/>
      <pageMargins left="0.7" right="0.7" top="0.75" bottom="0.75" header="0.3" footer="0.3"/>
      <pageSetup paperSize="9" orientation="portrait" horizontalDpi="300" verticalDpi="300" r:id="rId14"/>
    </customSheetView>
    <customSheetView guid="{56BC42A3-D967-4F27-BD5A-CB0B8CB7F657}" showPageBreaks="1" printArea="1">
      <selection activeCell="K11" sqref="K11"/>
      <pageMargins left="0.7" right="0.7" top="0.75" bottom="0.75" header="0.3" footer="0.3"/>
      <pageSetup paperSize="9" orientation="portrait" horizontalDpi="300" verticalDpi="300" r:id="rId15"/>
    </customSheetView>
    <customSheetView guid="{DE419AE1-55C7-41E8-9A94-E4062EF30970}" showPageBreaks="1" printArea="1">
      <selection activeCell="K11" sqref="K11"/>
      <pageMargins left="0.7" right="0.7" top="0.75" bottom="0.75" header="0.3" footer="0.3"/>
      <pageSetup paperSize="9" orientation="portrait" horizontalDpi="300" verticalDpi="300" r:id="rId16"/>
    </customSheetView>
    <customSheetView guid="{6B77031E-918C-40F9-A42D-E4EA46622624}">
      <selection activeCell="K11" sqref="K11"/>
      <pageMargins left="0.7" right="0.7" top="0.75" bottom="0.75" header="0.3" footer="0.3"/>
      <pageSetup paperSize="9" orientation="portrait" horizontalDpi="300" verticalDpi="300" r:id="rId17"/>
    </customSheetView>
    <customSheetView guid="{77799D3C-38E2-410A-80FA-AECD8E6AB89B}" showPageBreaks="1" printArea="1">
      <selection activeCell="K11" sqref="K11"/>
      <pageMargins left="0.7" right="0.7" top="0.75" bottom="0.75" header="0.3" footer="0.3"/>
      <pageSetup paperSize="9" orientation="portrait" horizontalDpi="300" verticalDpi="300" r:id="rId18"/>
    </customSheetView>
    <customSheetView guid="{32A281B9-28FB-4D0E-8C01-BFBADAC8C3C9}" showPageBreaks="1" printArea="1" topLeftCell="E1">
      <selection activeCell="L18" sqref="L18"/>
      <pageMargins left="0.7" right="0.7" top="0.75" bottom="0.75" header="0.3" footer="0.3"/>
      <pageSetup paperSize="9" orientation="portrait" horizontalDpi="300" verticalDpi="300" r:id="rId19"/>
    </customSheetView>
  </customSheetViews>
  <mergeCells count="18">
    <mergeCell ref="A9:B12"/>
    <mergeCell ref="A13:B16"/>
    <mergeCell ref="G3:H3"/>
    <mergeCell ref="B29:N29"/>
    <mergeCell ref="G20:I20"/>
    <mergeCell ref="A18:B18"/>
    <mergeCell ref="A17:B17"/>
    <mergeCell ref="A2:M2"/>
    <mergeCell ref="B3:B4"/>
    <mergeCell ref="C3:C4"/>
    <mergeCell ref="L3:L4"/>
    <mergeCell ref="M3:M4"/>
    <mergeCell ref="J3:K3"/>
    <mergeCell ref="D3:D4"/>
    <mergeCell ref="E3:E4"/>
    <mergeCell ref="F3:F4"/>
    <mergeCell ref="I3:I4"/>
    <mergeCell ref="A3:A5"/>
  </mergeCells>
  <pageMargins left="0.7" right="0.7" top="0.75" bottom="0.75" header="0.3" footer="0.3"/>
  <pageSetup paperSize="9" orientation="portrait" horizontalDpi="300" verticalDpi="300"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view="pageBreakPreview" zoomScale="80" zoomScaleNormal="85" zoomScaleSheetLayoutView="80" workbookViewId="0">
      <selection activeCell="A24" sqref="A24"/>
    </sheetView>
  </sheetViews>
  <sheetFormatPr defaultColWidth="9.28515625" defaultRowHeight="15.75" x14ac:dyDescent="0.25"/>
  <cols>
    <col min="1" max="1" width="125.28515625" style="43" bestFit="1" customWidth="1"/>
    <col min="2" max="4" width="26.5703125" style="43" customWidth="1"/>
    <col min="5" max="5" width="23.7109375" style="43" customWidth="1"/>
    <col min="6" max="7" width="18.28515625" style="43" customWidth="1"/>
    <col min="8" max="8" width="42.28515625" style="43" customWidth="1"/>
    <col min="9" max="9" width="16.7109375" style="43" bestFit="1" customWidth="1"/>
    <col min="10" max="10" width="9.28515625" style="43"/>
    <col min="11" max="11" width="15" style="43" bestFit="1" customWidth="1"/>
    <col min="12" max="12" width="18.42578125" style="43" bestFit="1" customWidth="1"/>
    <col min="13" max="13" width="15" style="43" bestFit="1" customWidth="1"/>
    <col min="14" max="14" width="16.28515625" style="43" bestFit="1" customWidth="1"/>
    <col min="15" max="15" width="13.7109375" style="43" bestFit="1" customWidth="1"/>
    <col min="16" max="16" width="21" style="43" customWidth="1"/>
    <col min="17" max="17" width="21.5703125" style="43" customWidth="1"/>
    <col min="18" max="18" width="22.28515625" style="43" customWidth="1"/>
    <col min="19" max="19" width="14.7109375" style="43" customWidth="1"/>
    <col min="20" max="20" width="19.7109375" style="43" customWidth="1"/>
    <col min="21" max="16384" width="9.28515625" style="43"/>
  </cols>
  <sheetData>
    <row r="1" spans="1:19" ht="16.5" thickBot="1" x14ac:dyDescent="0.3">
      <c r="A1" s="458" t="s">
        <v>81</v>
      </c>
      <c r="B1" s="459"/>
      <c r="C1" s="459"/>
      <c r="D1" s="459"/>
      <c r="E1" s="459"/>
      <c r="F1" s="459"/>
      <c r="G1" s="459"/>
      <c r="H1" s="460"/>
      <c r="K1" s="461" t="s">
        <v>82</v>
      </c>
      <c r="L1" s="462"/>
      <c r="M1" s="462"/>
      <c r="N1" s="462"/>
      <c r="O1" s="463"/>
    </row>
    <row r="2" spans="1:19" ht="78.75" x14ac:dyDescent="0.25">
      <c r="A2" s="44" t="s">
        <v>83</v>
      </c>
      <c r="B2" s="45" t="s">
        <v>84</v>
      </c>
      <c r="C2" s="45" t="s">
        <v>85</v>
      </c>
      <c r="D2" s="45" t="s">
        <v>86</v>
      </c>
      <c r="E2" s="45" t="s">
        <v>87</v>
      </c>
      <c r="F2" s="45" t="s">
        <v>88</v>
      </c>
      <c r="G2" s="45" t="s">
        <v>89</v>
      </c>
      <c r="H2" s="45" t="s">
        <v>90</v>
      </c>
      <c r="I2" s="46" t="s">
        <v>91</v>
      </c>
      <c r="J2" s="46" t="s">
        <v>92</v>
      </c>
      <c r="K2" s="47" t="s">
        <v>93</v>
      </c>
      <c r="L2" s="47" t="s">
        <v>94</v>
      </c>
      <c r="M2" s="47" t="s">
        <v>95</v>
      </c>
      <c r="N2" s="48" t="s">
        <v>96</v>
      </c>
      <c r="O2" s="47" t="s">
        <v>97</v>
      </c>
      <c r="P2" s="43">
        <v>1.95583</v>
      </c>
    </row>
    <row r="3" spans="1:19" ht="17.25" customHeight="1" x14ac:dyDescent="0.25">
      <c r="A3" s="464" t="s">
        <v>98</v>
      </c>
      <c r="B3" s="464"/>
      <c r="C3" s="464"/>
      <c r="D3" s="464"/>
      <c r="E3" s="464"/>
      <c r="F3" s="464"/>
      <c r="G3" s="464"/>
      <c r="H3" s="464"/>
      <c r="K3" s="49">
        <v>428871428.57142854</v>
      </c>
      <c r="L3" s="49">
        <f>K3*0.2</f>
        <v>85774285.714285716</v>
      </c>
      <c r="M3" s="49">
        <f>K3-L3</f>
        <v>343097142.85714281</v>
      </c>
      <c r="N3" s="49">
        <f>M3*0.7</f>
        <v>240167999.99999994</v>
      </c>
      <c r="O3" s="50">
        <f>0.3*M3</f>
        <v>102929142.85714284</v>
      </c>
    </row>
    <row r="4" spans="1:19" x14ac:dyDescent="0.25">
      <c r="A4" s="51" t="s">
        <v>99</v>
      </c>
      <c r="B4" s="52">
        <f>0.2*C4</f>
        <v>10507349.999999998</v>
      </c>
      <c r="C4" s="52">
        <f>70/100*D4</f>
        <v>52536749.999999985</v>
      </c>
      <c r="D4" s="52">
        <f>J4*N4</f>
        <v>75052499.999999985</v>
      </c>
      <c r="E4" s="52">
        <f>70/100*F4</f>
        <v>42029399.999999985</v>
      </c>
      <c r="F4" s="52">
        <f>J4*$N$3</f>
        <v>60041999.999999985</v>
      </c>
      <c r="G4" s="52">
        <f>F4*$P$2</f>
        <v>117431944.85999997</v>
      </c>
      <c r="H4" s="53" t="s">
        <v>100</v>
      </c>
      <c r="I4" s="54">
        <f>F4/$F$8</f>
        <v>0.13999999999999999</v>
      </c>
      <c r="J4" s="54">
        <v>0.25</v>
      </c>
      <c r="N4" s="43">
        <f>70/100*K3</f>
        <v>300209999.99999994</v>
      </c>
      <c r="O4" s="43">
        <f>30/100*K3</f>
        <v>128661428.57142855</v>
      </c>
      <c r="P4" s="55"/>
      <c r="Q4" s="56"/>
      <c r="R4" s="56"/>
      <c r="S4" s="56"/>
    </row>
    <row r="5" spans="1:19" ht="31.5" x14ac:dyDescent="0.25">
      <c r="A5" s="57" t="s">
        <v>101</v>
      </c>
      <c r="B5" s="52">
        <f>0.2*C5</f>
        <v>31522049.999999989</v>
      </c>
      <c r="C5" s="52">
        <f>70/100*D5</f>
        <v>157610249.99999994</v>
      </c>
      <c r="D5" s="52">
        <f>J5*N4</f>
        <v>225157499.99999994</v>
      </c>
      <c r="E5" s="52">
        <f>70/100*F5</f>
        <v>126088199.99999996</v>
      </c>
      <c r="F5" s="52">
        <f>J5*$N$3</f>
        <v>180125999.99999994</v>
      </c>
      <c r="G5" s="52">
        <f>F5*$P$2</f>
        <v>352295834.57999986</v>
      </c>
      <c r="H5" s="53" t="s">
        <v>102</v>
      </c>
      <c r="I5" s="54">
        <f>F5/$F$8</f>
        <v>0.41999999999999987</v>
      </c>
      <c r="J5" s="54">
        <v>0.75</v>
      </c>
      <c r="P5" s="56"/>
      <c r="Q5" s="56"/>
      <c r="R5" s="56"/>
      <c r="S5" s="56"/>
    </row>
    <row r="6" spans="1:19" ht="47.25" x14ac:dyDescent="0.25">
      <c r="A6" s="58" t="s">
        <v>103</v>
      </c>
      <c r="B6" s="52">
        <f>0.2*C6</f>
        <v>18012599.999999996</v>
      </c>
      <c r="C6" s="52">
        <f>70/100*D6</f>
        <v>90062999.999999985</v>
      </c>
      <c r="D6" s="52">
        <f>O4</f>
        <v>128661428.57142855</v>
      </c>
      <c r="E6" s="52">
        <f>70/100*F6</f>
        <v>72050399.999999985</v>
      </c>
      <c r="F6" s="52">
        <f>O3</f>
        <v>102929142.85714284</v>
      </c>
      <c r="G6" s="52">
        <f>F6*$P$2</f>
        <v>201311905.47428566</v>
      </c>
      <c r="H6" s="53" t="s">
        <v>104</v>
      </c>
      <c r="I6" s="54">
        <f>F6/$F$8</f>
        <v>0.23999999999999996</v>
      </c>
    </row>
    <row r="7" spans="1:19" ht="31.5" x14ac:dyDescent="0.25">
      <c r="A7" s="59" t="s">
        <v>105</v>
      </c>
      <c r="B7" s="86">
        <f>E7-B4-B5-B6</f>
        <v>0</v>
      </c>
      <c r="C7" s="59"/>
      <c r="D7" s="59">
        <f>D4/70*100*1.95583-120000000</f>
        <v>89699901.535714239</v>
      </c>
      <c r="E7" s="52">
        <f>70/100*F7</f>
        <v>60042000</v>
      </c>
      <c r="F7" s="60">
        <f>L3</f>
        <v>85774285.714285716</v>
      </c>
      <c r="G7" s="52">
        <f>F7*$P$2</f>
        <v>167759921.22857141</v>
      </c>
      <c r="H7" s="61" t="s">
        <v>106</v>
      </c>
      <c r="I7" s="54">
        <f>F7/$F$8</f>
        <v>0.2</v>
      </c>
    </row>
    <row r="8" spans="1:19" x14ac:dyDescent="0.25">
      <c r="A8" s="62" t="s">
        <v>107</v>
      </c>
      <c r="B8" s="62"/>
      <c r="C8" s="62"/>
      <c r="D8" s="62"/>
      <c r="E8" s="50">
        <f>SUM(E4:E7)</f>
        <v>300209999.99999994</v>
      </c>
      <c r="F8" s="63">
        <f>SUM(F4:F7)</f>
        <v>428871428.57142854</v>
      </c>
      <c r="G8" s="63">
        <f>SUM(G4:G7)</f>
        <v>838799606.14285684</v>
      </c>
      <c r="H8" s="64"/>
    </row>
    <row r="9" spans="1:19" ht="51.75" customHeight="1" thickBot="1" x14ac:dyDescent="0.3">
      <c r="A9" s="465" t="s">
        <v>108</v>
      </c>
      <c r="B9" s="466"/>
      <c r="C9" s="466"/>
      <c r="D9" s="466"/>
      <c r="E9" s="466"/>
      <c r="F9" s="466"/>
      <c r="G9" s="466"/>
      <c r="H9" s="467"/>
      <c r="I9" s="46" t="s">
        <v>109</v>
      </c>
      <c r="J9" s="46"/>
      <c r="K9" s="65" t="s">
        <v>110</v>
      </c>
      <c r="L9" s="65" t="s">
        <v>111</v>
      </c>
      <c r="M9" s="65" t="s">
        <v>112</v>
      </c>
      <c r="N9" s="66" t="s">
        <v>113</v>
      </c>
      <c r="O9" s="65"/>
    </row>
    <row r="10" spans="1:19" ht="31.5" x14ac:dyDescent="0.25">
      <c r="A10" s="67" t="s">
        <v>114</v>
      </c>
      <c r="B10" s="67"/>
      <c r="C10" s="67"/>
      <c r="D10" s="67"/>
      <c r="E10" s="67"/>
      <c r="F10" s="68">
        <f>I10*K10</f>
        <v>106490914.2857143</v>
      </c>
      <c r="G10" s="68">
        <f t="shared" ref="G10:G15" si="0">F10*$P$2</f>
        <v>208278124.88742858</v>
      </c>
      <c r="H10" s="53" t="s">
        <v>115</v>
      </c>
      <c r="I10" s="54">
        <v>0.17</v>
      </c>
      <c r="K10" s="49">
        <v>626417142.85714293</v>
      </c>
      <c r="L10" s="49">
        <f>F16</f>
        <v>93962571.428571433</v>
      </c>
      <c r="M10" s="69">
        <f>I10+I11+I12</f>
        <v>0.55000000000000004</v>
      </c>
      <c r="N10" s="69">
        <f>I16+I15+I14+I13</f>
        <v>0.45</v>
      </c>
      <c r="O10" s="50"/>
    </row>
    <row r="11" spans="1:19" ht="31.5" x14ac:dyDescent="0.25">
      <c r="A11" s="70" t="s">
        <v>116</v>
      </c>
      <c r="B11" s="70"/>
      <c r="C11" s="70"/>
      <c r="D11" s="70"/>
      <c r="E11" s="70"/>
      <c r="F11" s="71">
        <f>I11*K10</f>
        <v>175396800.00000003</v>
      </c>
      <c r="G11" s="68">
        <f t="shared" si="0"/>
        <v>343046323.34400004</v>
      </c>
      <c r="H11" s="53" t="s">
        <v>117</v>
      </c>
      <c r="I11" s="54">
        <v>0.28000000000000003</v>
      </c>
    </row>
    <row r="12" spans="1:19" x14ac:dyDescent="0.25">
      <c r="A12" s="70" t="s">
        <v>118</v>
      </c>
      <c r="B12" s="70"/>
      <c r="C12" s="70"/>
      <c r="D12" s="70"/>
      <c r="E12" s="70"/>
      <c r="F12" s="71">
        <f>I12*K10</f>
        <v>62641714.285714298</v>
      </c>
      <c r="G12" s="68">
        <f t="shared" si="0"/>
        <v>122516544.0514286</v>
      </c>
      <c r="H12" s="53" t="s">
        <v>119</v>
      </c>
      <c r="I12" s="54">
        <v>0.1</v>
      </c>
    </row>
    <row r="13" spans="1:19" ht="31.5" x14ac:dyDescent="0.25">
      <c r="A13" s="70" t="s">
        <v>120</v>
      </c>
      <c r="B13" s="70"/>
      <c r="C13" s="70"/>
      <c r="D13" s="70"/>
      <c r="E13" s="70"/>
      <c r="F13" s="71">
        <f>I13*K10</f>
        <v>31320857.142857149</v>
      </c>
      <c r="G13" s="68">
        <f t="shared" si="0"/>
        <v>61258272.025714301</v>
      </c>
      <c r="H13" s="53" t="s">
        <v>121</v>
      </c>
      <c r="I13" s="54">
        <v>0.05</v>
      </c>
    </row>
    <row r="14" spans="1:19" x14ac:dyDescent="0.25">
      <c r="A14" s="58" t="s">
        <v>122</v>
      </c>
      <c r="B14" s="58"/>
      <c r="C14" s="58"/>
      <c r="D14" s="58"/>
      <c r="E14" s="58"/>
      <c r="F14" s="71">
        <f>I14*K10</f>
        <v>62641714.285714298</v>
      </c>
      <c r="G14" s="68">
        <f t="shared" si="0"/>
        <v>122516544.0514286</v>
      </c>
      <c r="H14" s="53" t="s">
        <v>123</v>
      </c>
      <c r="I14" s="54">
        <v>0.1</v>
      </c>
    </row>
    <row r="15" spans="1:19" ht="31.5" x14ac:dyDescent="0.25">
      <c r="A15" s="70" t="s">
        <v>124</v>
      </c>
      <c r="B15" s="70"/>
      <c r="C15" s="70"/>
      <c r="D15" s="70"/>
      <c r="E15" s="70"/>
      <c r="F15" s="71">
        <f>I15*K10</f>
        <v>93962571.428571433</v>
      </c>
      <c r="G15" s="68">
        <f t="shared" si="0"/>
        <v>183774816.07714286</v>
      </c>
      <c r="H15" s="53" t="s">
        <v>125</v>
      </c>
      <c r="I15" s="54">
        <v>0.15</v>
      </c>
    </row>
    <row r="16" spans="1:19" ht="31.5" x14ac:dyDescent="0.25">
      <c r="A16" s="70" t="s">
        <v>126</v>
      </c>
      <c r="B16" s="70"/>
      <c r="C16" s="70"/>
      <c r="D16" s="70"/>
      <c r="E16" s="70"/>
      <c r="F16" s="71">
        <f>I16*K10</f>
        <v>93962571.428571433</v>
      </c>
      <c r="G16" s="68">
        <f>F16*$P$2</f>
        <v>183774816.07714286</v>
      </c>
      <c r="H16" s="53" t="s">
        <v>127</v>
      </c>
      <c r="I16" s="54">
        <v>0.15</v>
      </c>
    </row>
    <row r="17" spans="1:15" x14ac:dyDescent="0.25">
      <c r="A17" s="62" t="s">
        <v>128</v>
      </c>
      <c r="B17" s="62"/>
      <c r="C17" s="62"/>
      <c r="D17" s="62"/>
      <c r="E17" s="62"/>
      <c r="F17" s="63">
        <f>SUM(F10:F16)</f>
        <v>626417142.85714304</v>
      </c>
      <c r="G17" s="63">
        <f>F17*$P$2</f>
        <v>1225165440.514286</v>
      </c>
      <c r="H17" s="72"/>
    </row>
    <row r="18" spans="1:15" ht="47.25" x14ac:dyDescent="0.25">
      <c r="A18" s="455" t="s">
        <v>129</v>
      </c>
      <c r="B18" s="456"/>
      <c r="C18" s="456"/>
      <c r="D18" s="456"/>
      <c r="E18" s="456"/>
      <c r="F18" s="456"/>
      <c r="G18" s="456"/>
      <c r="H18" s="457"/>
      <c r="I18" s="46" t="s">
        <v>130</v>
      </c>
      <c r="J18" s="46"/>
      <c r="K18" s="65" t="s">
        <v>131</v>
      </c>
      <c r="L18" s="65" t="s">
        <v>132</v>
      </c>
      <c r="M18" s="65" t="s">
        <v>133</v>
      </c>
      <c r="N18" s="66" t="s">
        <v>134</v>
      </c>
      <c r="O18" s="65"/>
    </row>
    <row r="19" spans="1:15" ht="31.5" x14ac:dyDescent="0.25">
      <c r="A19" s="70" t="s">
        <v>135</v>
      </c>
      <c r="B19" s="70"/>
      <c r="C19" s="70"/>
      <c r="D19" s="70"/>
      <c r="E19" s="70"/>
      <c r="F19" s="71">
        <f>I19*K19</f>
        <v>146164000</v>
      </c>
      <c r="G19" s="71">
        <f t="shared" ref="G19:G30" si="1">F19*$P$2</f>
        <v>285871936.12</v>
      </c>
      <c r="H19" s="53" t="s">
        <v>136</v>
      </c>
      <c r="I19" s="54">
        <v>0.35</v>
      </c>
      <c r="K19" s="49">
        <v>417611428.5714286</v>
      </c>
      <c r="L19" s="49">
        <f>F25</f>
        <v>57820285.714285731</v>
      </c>
      <c r="M19" s="69">
        <f>I19+I20+I21+I22</f>
        <v>0.75</v>
      </c>
      <c r="N19" s="69">
        <f>I23+I24+I25</f>
        <v>0.25</v>
      </c>
      <c r="O19" s="50"/>
    </row>
    <row r="20" spans="1:15" ht="47.25" x14ac:dyDescent="0.25">
      <c r="A20" s="70" t="s">
        <v>137</v>
      </c>
      <c r="B20" s="70"/>
      <c r="C20" s="70"/>
      <c r="D20" s="70"/>
      <c r="E20" s="70"/>
      <c r="F20" s="71">
        <f>I20*K19</f>
        <v>83522285.714285731</v>
      </c>
      <c r="G20" s="71">
        <f t="shared" si="1"/>
        <v>163355392.06857145</v>
      </c>
      <c r="H20" s="53" t="s">
        <v>138</v>
      </c>
      <c r="I20" s="54">
        <v>0.2</v>
      </c>
    </row>
    <row r="21" spans="1:15" ht="47.25" x14ac:dyDescent="0.25">
      <c r="A21" s="70" t="s">
        <v>139</v>
      </c>
      <c r="B21" s="70"/>
      <c r="C21" s="70"/>
      <c r="D21" s="70"/>
      <c r="E21" s="70"/>
      <c r="F21" s="71">
        <f>I21*K19</f>
        <v>41761142.857142866</v>
      </c>
      <c r="G21" s="71">
        <f t="shared" si="1"/>
        <v>81677696.034285724</v>
      </c>
      <c r="H21" s="53" t="s">
        <v>140</v>
      </c>
      <c r="I21" s="54">
        <v>0.1</v>
      </c>
    </row>
    <row r="22" spans="1:15" x14ac:dyDescent="0.25">
      <c r="A22" s="70" t="s">
        <v>141</v>
      </c>
      <c r="B22" s="70"/>
      <c r="C22" s="70"/>
      <c r="D22" s="70"/>
      <c r="E22" s="70"/>
      <c r="F22" s="71">
        <f>I22*K19</f>
        <v>41761142.857142866</v>
      </c>
      <c r="G22" s="71">
        <f t="shared" si="1"/>
        <v>81677696.034285724</v>
      </c>
      <c r="H22" s="53" t="s">
        <v>142</v>
      </c>
      <c r="I22" s="54">
        <v>0.1</v>
      </c>
    </row>
    <row r="23" spans="1:15" x14ac:dyDescent="0.25">
      <c r="A23" s="70" t="s">
        <v>143</v>
      </c>
      <c r="B23" s="70"/>
      <c r="C23" s="70"/>
      <c r="D23" s="70"/>
      <c r="E23" s="70"/>
      <c r="F23" s="71">
        <f>I23*K19</f>
        <v>20880571.428571433</v>
      </c>
      <c r="G23" s="71">
        <f>F23*$P$2</f>
        <v>40838848.017142862</v>
      </c>
      <c r="H23" s="53" t="s">
        <v>144</v>
      </c>
      <c r="I23" s="54">
        <v>0.05</v>
      </c>
    </row>
    <row r="24" spans="1:15" x14ac:dyDescent="0.25">
      <c r="A24" s="70" t="s">
        <v>145</v>
      </c>
      <c r="B24" s="70"/>
      <c r="C24" s="70"/>
      <c r="D24" s="70"/>
      <c r="E24" s="70"/>
      <c r="F24" s="71">
        <f>I24*K19</f>
        <v>25701999.999999989</v>
      </c>
      <c r="G24" s="71">
        <f>F24*$P$2</f>
        <v>50268742.659999974</v>
      </c>
      <c r="H24" s="53" t="s">
        <v>146</v>
      </c>
      <c r="I24" s="54">
        <f>20%-I25</f>
        <v>6.1545250540488733E-2</v>
      </c>
    </row>
    <row r="25" spans="1:15" ht="47.25" x14ac:dyDescent="0.25">
      <c r="A25" s="70" t="s">
        <v>147</v>
      </c>
      <c r="B25" s="70"/>
      <c r="C25" s="70"/>
      <c r="D25" s="70"/>
      <c r="E25" s="70"/>
      <c r="F25" s="71">
        <f>F33-F16</f>
        <v>57820285.714285731</v>
      </c>
      <c r="G25" s="71">
        <f t="shared" si="1"/>
        <v>113086649.40857147</v>
      </c>
      <c r="H25" s="53" t="s">
        <v>148</v>
      </c>
      <c r="I25" s="73">
        <f>F25/K19</f>
        <v>0.13845474945951128</v>
      </c>
      <c r="K25" s="65" t="s">
        <v>149</v>
      </c>
      <c r="L25" s="65" t="s">
        <v>150</v>
      </c>
      <c r="M25" s="65" t="s">
        <v>151</v>
      </c>
      <c r="N25" s="66" t="s">
        <v>152</v>
      </c>
      <c r="O25" s="65"/>
    </row>
    <row r="26" spans="1:15" x14ac:dyDescent="0.25">
      <c r="A26" s="62" t="s">
        <v>153</v>
      </c>
      <c r="B26" s="62"/>
      <c r="C26" s="62"/>
      <c r="D26" s="62"/>
      <c r="E26" s="62"/>
      <c r="F26" s="63">
        <f>SUM(F19:F25)</f>
        <v>417611428.57142866</v>
      </c>
      <c r="G26" s="63">
        <f t="shared" si="1"/>
        <v>816776960.34285724</v>
      </c>
      <c r="H26" s="72"/>
      <c r="I26" s="54"/>
      <c r="K26" s="49">
        <f>K10+K19</f>
        <v>1044028571.4285715</v>
      </c>
      <c r="L26" s="49">
        <f>L19+L10</f>
        <v>151782857.14285716</v>
      </c>
      <c r="M26" s="69">
        <f>(F10+F11+F12+F19+F20+F21+F22)/K26</f>
        <v>0.63000000000000023</v>
      </c>
      <c r="N26" s="69">
        <f>(F13+F14+F15+F16+F23+F24+F25)/K26</f>
        <v>0.37</v>
      </c>
      <c r="O26" s="50"/>
    </row>
    <row r="27" spans="1:15" ht="15.75" customHeight="1" x14ac:dyDescent="0.25">
      <c r="A27" s="455" t="s">
        <v>154</v>
      </c>
      <c r="B27" s="456"/>
      <c r="C27" s="456"/>
      <c r="D27" s="456"/>
      <c r="E27" s="456"/>
      <c r="F27" s="456"/>
      <c r="G27" s="456"/>
      <c r="H27" s="457"/>
      <c r="I27" s="54"/>
    </row>
    <row r="28" spans="1:15" x14ac:dyDescent="0.25">
      <c r="A28" s="62" t="s">
        <v>155</v>
      </c>
      <c r="B28" s="62"/>
      <c r="C28" s="62"/>
      <c r="D28" s="62"/>
      <c r="E28" s="62"/>
      <c r="F28" s="63">
        <v>44928571.428571425</v>
      </c>
      <c r="G28" s="63">
        <f>F28*1.95583</f>
        <v>87872647.857142851</v>
      </c>
      <c r="H28" s="72"/>
      <c r="I28" s="54"/>
    </row>
    <row r="29" spans="1:15" ht="31.5" x14ac:dyDescent="0.25">
      <c r="A29" s="74" t="s">
        <v>156</v>
      </c>
      <c r="B29" s="74"/>
      <c r="C29" s="74"/>
      <c r="D29" s="74"/>
      <c r="E29" s="74"/>
      <c r="F29" s="75">
        <f>F26+F17+F28</f>
        <v>1088957142.8571432</v>
      </c>
      <c r="G29" s="75">
        <f t="shared" si="1"/>
        <v>2129815048.7142863</v>
      </c>
      <c r="H29" s="75"/>
      <c r="I29" s="54"/>
      <c r="K29" s="65" t="s">
        <v>157</v>
      </c>
      <c r="L29" s="65" t="s">
        <v>158</v>
      </c>
    </row>
    <row r="30" spans="1:15" ht="30" customHeight="1" x14ac:dyDescent="0.25">
      <c r="A30" s="74" t="s">
        <v>159</v>
      </c>
      <c r="B30" s="74"/>
      <c r="C30" s="74"/>
      <c r="D30" s="74"/>
      <c r="E30" s="74"/>
      <c r="F30" s="75">
        <f>F29+F8</f>
        <v>1517828571.4285717</v>
      </c>
      <c r="G30" s="75">
        <f t="shared" si="1"/>
        <v>2968614654.8571434</v>
      </c>
      <c r="H30" s="75"/>
      <c r="I30" s="54"/>
      <c r="K30" s="49">
        <v>1517828571.4285715</v>
      </c>
      <c r="L30" s="76">
        <f>L26/K30</f>
        <v>0.1</v>
      </c>
    </row>
    <row r="32" spans="1:15" x14ac:dyDescent="0.25">
      <c r="L32" s="77"/>
    </row>
    <row r="33" spans="6:7" x14ac:dyDescent="0.25">
      <c r="F33" s="77">
        <v>151782857.14285716</v>
      </c>
      <c r="G33" s="77">
        <f>F33*1.95583</f>
        <v>296861465.48571432</v>
      </c>
    </row>
  </sheetData>
  <customSheetViews>
    <customSheetView guid="{6BEE494D-3BDB-46C2-9750-A57C1F94B9B8}" scale="80" showPageBreaks="1" fitToPage="1" printArea="1" state="hidden" view="pageBreakPreview">
      <selection activeCell="A24" sqref="A24"/>
      <pageMargins left="0.7" right="0.7" top="0.75" bottom="0.75" header="0.3" footer="0.3"/>
      <pageSetup paperSize="9" scale="31" orientation="landscape" r:id="rId1"/>
    </customSheetView>
    <customSheetView guid="{B426F9F8-EB1A-4D7B-9478-7E22D414CC12}" scale="80" showPageBreaks="1" fitToPage="1" printArea="1" state="hidden" view="pageBreakPreview">
      <selection activeCell="A24" sqref="A24"/>
      <pageMargins left="0.7" right="0.7" top="0.75" bottom="0.75" header="0.3" footer="0.3"/>
      <pageSetup paperSize="9" scale="31" orientation="landscape" r:id="rId2"/>
    </customSheetView>
    <customSheetView guid="{13EBDE9D-EC74-4522-9EED-363E735B4A78}" scale="80" showPageBreaks="1" fitToPage="1" printArea="1" state="hidden" view="pageBreakPreview">
      <selection activeCell="A24" sqref="A24"/>
      <pageMargins left="0.7" right="0.7" top="0.75" bottom="0.75" header="0.3" footer="0.3"/>
      <pageSetup paperSize="9" scale="31" orientation="landscape" r:id="rId3"/>
    </customSheetView>
    <customSheetView guid="{F67C426D-26F1-4B15-961D-40AFD17A9EE3}" scale="80" showPageBreaks="1" fitToPage="1" printArea="1" state="hidden" view="pageBreakPreview">
      <selection activeCell="A24" sqref="A24"/>
      <pageMargins left="0.7" right="0.7" top="0.75" bottom="0.75" header="0.3" footer="0.3"/>
      <pageSetup paperSize="9" scale="31" orientation="landscape" r:id="rId4"/>
    </customSheetView>
    <customSheetView guid="{B777B674-73ED-4225-A0AA-917FDFF5A819}" scale="80" showPageBreaks="1" fitToPage="1" printArea="1" state="hidden" view="pageBreakPreview">
      <selection activeCell="A24" sqref="A24"/>
      <pageMargins left="0.7" right="0.7" top="0.75" bottom="0.75" header="0.3" footer="0.3"/>
      <pageSetup paperSize="9" scale="31" orientation="landscape" r:id="rId5"/>
    </customSheetView>
    <customSheetView guid="{DE1004AE-EE6B-445B-9B87-77176E699CEC}" scale="80" showPageBreaks="1" fitToPage="1" printArea="1" state="hidden" view="pageBreakPreview">
      <selection activeCell="A24" sqref="A24"/>
      <pageMargins left="0.7" right="0.7" top="0.75" bottom="0.75" header="0.3" footer="0.3"/>
      <pageSetup paperSize="9" scale="31" orientation="landscape" r:id="rId6"/>
    </customSheetView>
    <customSheetView guid="{7FBA698A-B4F9-473C-A697-22EC99EC7386}" scale="80" showPageBreaks="1" fitToPage="1" printArea="1" state="hidden" view="pageBreakPreview">
      <selection activeCell="A24" sqref="A24"/>
      <pageMargins left="0.7" right="0.7" top="0.75" bottom="0.75" header="0.3" footer="0.3"/>
      <pageSetup paperSize="9" scale="31" orientation="landscape" r:id="rId7"/>
    </customSheetView>
    <customSheetView guid="{53CF95D2-2F99-49E8-AB7F-7627DCDE0DC8}" scale="80" showPageBreaks="1" fitToPage="1" printArea="1" state="hidden" view="pageBreakPreview">
      <selection activeCell="A24" sqref="A24"/>
      <pageMargins left="0.7" right="0.7" top="0.75" bottom="0.75" header="0.3" footer="0.3"/>
      <pageSetup paperSize="9" scale="31" orientation="landscape" r:id="rId8"/>
    </customSheetView>
    <customSheetView guid="{AD504361-49F3-4986-BDBF-FB73E2299976}" scale="80" showPageBreaks="1" fitToPage="1" printArea="1" state="hidden" view="pageBreakPreview">
      <selection activeCell="A24" sqref="A24"/>
      <pageMargins left="0.7" right="0.7" top="0.75" bottom="0.75" header="0.3" footer="0.3"/>
      <pageSetup paperSize="9" scale="31" orientation="landscape" r:id="rId9"/>
    </customSheetView>
    <customSheetView guid="{DD0EA6D3-BC8C-40D3-B12F-B88059C8E3DC}" scale="80" showPageBreaks="1" fitToPage="1" printArea="1" state="hidden" view="pageBreakPreview">
      <selection activeCell="A24" sqref="A24"/>
      <pageMargins left="0.7" right="0.7" top="0.75" bottom="0.75" header="0.3" footer="0.3"/>
      <pageSetup paperSize="9" scale="31" orientation="landscape" r:id="rId10"/>
    </customSheetView>
    <customSheetView guid="{72B67681-E295-44ED-80A6-F4B618B242B1}" scale="80" showPageBreaks="1" state="hidden" view="pageBreakPreview">
      <selection activeCell="A24" sqref="A24"/>
    </customSheetView>
    <customSheetView guid="{9CD5F6CE-0E1C-42DA-A598-93523B740CBC}" scale="80" showPageBreaks="1" fitToPage="1" printArea="1" state="hidden" view="pageBreakPreview">
      <selection activeCell="A24" sqref="A24"/>
      <pageMargins left="0.7" right="0.7" top="0.75" bottom="0.75" header="0.3" footer="0.3"/>
      <pageSetup paperSize="9" scale="31" orientation="landscape" r:id="rId11"/>
    </customSheetView>
    <customSheetView guid="{E07B67F4-8A17-4050-B9B8-81977BCB02E2}" scale="80" showPageBreaks="1" fitToPage="1" printArea="1" state="hidden" view="pageBreakPreview">
      <selection activeCell="A24" sqref="A24"/>
      <pageMargins left="0.7" right="0.7" top="0.75" bottom="0.75" header="0.3" footer="0.3"/>
      <pageSetup paperSize="9" scale="31" orientation="landscape" r:id="rId12"/>
    </customSheetView>
    <customSheetView guid="{2A6315F5-C9A2-43A7-B337-00FD30A3EB26}" scale="80" showPageBreaks="1" fitToPage="1" printArea="1" state="hidden" view="pageBreakPreview">
      <selection activeCell="A24" sqref="A24"/>
      <pageMargins left="0.7" right="0.7" top="0.75" bottom="0.75" header="0.3" footer="0.3"/>
      <pageSetup paperSize="9" scale="31" orientation="landscape" r:id="rId13"/>
    </customSheetView>
    <customSheetView guid="{D1BD168D-40B4-46AB-88B7-64C22520CFA0}" scale="80" showPageBreaks="1" fitToPage="1" printArea="1" state="hidden" view="pageBreakPreview">
      <selection activeCell="A24" sqref="A24"/>
      <pageMargins left="0.7" right="0.7" top="0.75" bottom="0.75" header="0.3" footer="0.3"/>
      <pageSetup paperSize="9" scale="31" orientation="landscape" r:id="rId14"/>
    </customSheetView>
    <customSheetView guid="{56BC42A3-D967-4F27-BD5A-CB0B8CB7F657}" scale="80" showPageBreaks="1" fitToPage="1" printArea="1" state="hidden" view="pageBreakPreview">
      <selection activeCell="A24" sqref="A24"/>
      <pageMargins left="0.7" right="0.7" top="0.75" bottom="0.75" header="0.3" footer="0.3"/>
      <pageSetup paperSize="9" scale="31" orientation="landscape" r:id="rId15"/>
    </customSheetView>
    <customSheetView guid="{DE419AE1-55C7-41E8-9A94-E4062EF30970}" scale="80" showPageBreaks="1" fitToPage="1" printArea="1" state="hidden" view="pageBreakPreview">
      <selection activeCell="A24" sqref="A24"/>
      <pageMargins left="0.7" right="0.7" top="0.75" bottom="0.75" header="0.3" footer="0.3"/>
      <pageSetup paperSize="9" scale="31" orientation="landscape" r:id="rId16"/>
    </customSheetView>
    <customSheetView guid="{6B77031E-918C-40F9-A42D-E4EA46622624}" scale="80" showPageBreaks="1" fitToPage="1" printArea="1" state="hidden" view="pageBreakPreview">
      <selection activeCell="A24" sqref="A24"/>
      <pageMargins left="0.7" right="0.7" top="0.75" bottom="0.75" header="0.3" footer="0.3"/>
      <pageSetup paperSize="9" scale="31" orientation="landscape" r:id="rId17"/>
    </customSheetView>
    <customSheetView guid="{77799D3C-38E2-410A-80FA-AECD8E6AB89B}" scale="80" showPageBreaks="1" fitToPage="1" printArea="1" state="hidden" view="pageBreakPreview">
      <selection activeCell="A24" sqref="A24"/>
      <pageMargins left="0.7" right="0.7" top="0.75" bottom="0.75" header="0.3" footer="0.3"/>
      <pageSetup paperSize="9" scale="31" orientation="landscape" r:id="rId18"/>
    </customSheetView>
    <customSheetView guid="{32A281B9-28FB-4D0E-8C01-BFBADAC8C3C9}" scale="80" showPageBreaks="1" fitToPage="1" printArea="1" state="hidden" view="pageBreakPreview">
      <selection activeCell="A24" sqref="A24"/>
      <pageMargins left="0.7" right="0.7" top="0.75" bottom="0.75" header="0.3" footer="0.3"/>
      <pageSetup paperSize="9" scale="31" orientation="landscape" r:id="rId19"/>
    </customSheetView>
  </customSheetViews>
  <mergeCells count="6">
    <mergeCell ref="A27:H27"/>
    <mergeCell ref="A1:H1"/>
    <mergeCell ref="K1:O1"/>
    <mergeCell ref="A3:H3"/>
    <mergeCell ref="A9:H9"/>
    <mergeCell ref="A18:H18"/>
  </mergeCells>
  <pageMargins left="0.7" right="0.7" top="0.75" bottom="0.75" header="0.3" footer="0.3"/>
  <pageSetup paperSize="9" scale="31" orientation="landscape" r:id="rId2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91"/>
  <sheetViews>
    <sheetView tabSelected="1" zoomScale="120" zoomScaleNormal="120" zoomScaleSheetLayoutView="100" workbookViewId="0">
      <selection activeCell="D60" sqref="D60"/>
    </sheetView>
  </sheetViews>
  <sheetFormatPr defaultColWidth="21.42578125" defaultRowHeight="12" x14ac:dyDescent="0.2"/>
  <cols>
    <col min="1" max="1" width="17" style="248" customWidth="1"/>
    <col min="2" max="2" width="5.7109375" style="249" customWidth="1"/>
    <col min="3" max="3" width="10.140625" style="250" bestFit="1" customWidth="1"/>
    <col min="4" max="4" width="10.5703125" style="250" bestFit="1" customWidth="1"/>
    <col min="5" max="5" width="37.7109375" style="248" customWidth="1"/>
    <col min="6" max="6" width="64.42578125" style="251" customWidth="1"/>
    <col min="7" max="7" width="9.7109375" style="252" customWidth="1"/>
    <col min="8" max="8" width="106.42578125" style="248" customWidth="1"/>
    <col min="9" max="9" width="42.7109375" style="248" customWidth="1"/>
    <col min="10" max="10" width="14.85546875" style="248" customWidth="1"/>
    <col min="11" max="11" width="11.7109375" style="409" customWidth="1"/>
    <col min="12" max="12" width="12.28515625" style="409" customWidth="1"/>
    <col min="13" max="13" width="11.140625" style="248" customWidth="1"/>
    <col min="14" max="14" width="10.7109375" style="308" customWidth="1"/>
    <col min="15" max="15" width="12.7109375" style="308" customWidth="1"/>
    <col min="16" max="18" width="13.42578125" style="308" customWidth="1"/>
    <col min="19" max="19" width="11.7109375" style="308" customWidth="1"/>
    <col min="20" max="16384" width="21.42578125" style="253"/>
  </cols>
  <sheetData>
    <row r="1" spans="1:19" s="304" customFormat="1" ht="107.25" customHeight="1" x14ac:dyDescent="0.25">
      <c r="A1" s="271" t="s">
        <v>312</v>
      </c>
      <c r="B1" s="272" t="s">
        <v>301</v>
      </c>
      <c r="C1" s="272" t="s">
        <v>302</v>
      </c>
      <c r="D1" s="272" t="s">
        <v>299</v>
      </c>
      <c r="E1" s="272" t="s">
        <v>313</v>
      </c>
      <c r="F1" s="272" t="s">
        <v>314</v>
      </c>
      <c r="G1" s="273" t="s">
        <v>311</v>
      </c>
      <c r="H1" s="272" t="s">
        <v>315</v>
      </c>
      <c r="I1" s="272" t="s">
        <v>316</v>
      </c>
      <c r="J1" s="212" t="s">
        <v>399</v>
      </c>
      <c r="K1" s="410" t="s">
        <v>317</v>
      </c>
      <c r="L1" s="410" t="s">
        <v>318</v>
      </c>
      <c r="M1" s="243" t="s">
        <v>319</v>
      </c>
      <c r="N1" s="243" t="s">
        <v>321</v>
      </c>
      <c r="O1" s="243" t="s">
        <v>322</v>
      </c>
      <c r="P1" s="243" t="s">
        <v>323</v>
      </c>
      <c r="Q1" s="243" t="s">
        <v>324</v>
      </c>
      <c r="R1" s="243" t="s">
        <v>325</v>
      </c>
      <c r="S1" s="309" t="s">
        <v>327</v>
      </c>
    </row>
    <row r="2" spans="1:19" s="305" customFormat="1" ht="19.5" customHeight="1" x14ac:dyDescent="0.25">
      <c r="A2" s="274">
        <v>1</v>
      </c>
      <c r="B2" s="241">
        <v>2</v>
      </c>
      <c r="C2" s="403">
        <v>3</v>
      </c>
      <c r="D2" s="242">
        <v>4</v>
      </c>
      <c r="E2" s="241">
        <v>5</v>
      </c>
      <c r="F2" s="241">
        <v>5</v>
      </c>
      <c r="G2" s="241">
        <v>6</v>
      </c>
      <c r="H2" s="241">
        <v>7</v>
      </c>
      <c r="I2" s="241">
        <v>8</v>
      </c>
      <c r="J2" s="230">
        <v>9</v>
      </c>
      <c r="K2" s="411">
        <v>10</v>
      </c>
      <c r="L2" s="411">
        <v>11</v>
      </c>
      <c r="M2" s="244">
        <v>12</v>
      </c>
      <c r="N2" s="244">
        <v>13</v>
      </c>
      <c r="O2" s="244">
        <v>14</v>
      </c>
      <c r="P2" s="244">
        <v>15</v>
      </c>
      <c r="Q2" s="244">
        <v>16</v>
      </c>
      <c r="R2" s="244">
        <v>17</v>
      </c>
      <c r="S2" s="213">
        <v>19</v>
      </c>
    </row>
    <row r="3" spans="1:19" s="307" customFormat="1" ht="216" x14ac:dyDescent="0.25">
      <c r="A3" s="332" t="s">
        <v>298</v>
      </c>
      <c r="B3" s="333" t="s">
        <v>300</v>
      </c>
      <c r="C3" s="342">
        <f>'Подробно разпределение '!P3</f>
        <v>23</v>
      </c>
      <c r="D3" s="334">
        <f>'Подробно разпределение '!AD3</f>
        <v>66</v>
      </c>
      <c r="E3" s="335" t="s">
        <v>406</v>
      </c>
      <c r="F3" s="336" t="s">
        <v>418</v>
      </c>
      <c r="G3" s="337" t="s">
        <v>320</v>
      </c>
      <c r="H3" s="335" t="s">
        <v>419</v>
      </c>
      <c r="I3" s="335" t="s">
        <v>420</v>
      </c>
      <c r="J3" s="231">
        <v>181</v>
      </c>
      <c r="K3" s="268">
        <v>2981148.31</v>
      </c>
      <c r="L3" s="268">
        <v>7063314.1100000003</v>
      </c>
      <c r="M3" s="245"/>
      <c r="N3" s="338">
        <v>5</v>
      </c>
      <c r="O3" s="338">
        <v>5</v>
      </c>
      <c r="P3" s="338">
        <v>5</v>
      </c>
      <c r="Q3" s="338">
        <v>5</v>
      </c>
      <c r="R3" s="338">
        <v>5</v>
      </c>
      <c r="S3" s="338"/>
    </row>
    <row r="4" spans="1:19" ht="12" customHeight="1" x14ac:dyDescent="0.25">
      <c r="A4" s="414" t="s">
        <v>291</v>
      </c>
      <c r="B4" s="263" t="s">
        <v>300</v>
      </c>
      <c r="C4" s="260">
        <f>ROUND(C3/6,0)</f>
        <v>4</v>
      </c>
      <c r="D4" s="260">
        <f>ROUND(D3/6,0)</f>
        <v>11</v>
      </c>
      <c r="E4" s="276"/>
      <c r="F4" s="276"/>
      <c r="G4" s="277"/>
      <c r="H4" s="278"/>
      <c r="I4" s="278"/>
      <c r="J4" s="232" t="s">
        <v>291</v>
      </c>
      <c r="K4" s="266">
        <v>413254.76</v>
      </c>
      <c r="L4" s="266">
        <v>1154651.5200000005</v>
      </c>
      <c r="M4" s="246">
        <v>0.7</v>
      </c>
      <c r="N4" s="294"/>
      <c r="O4" s="294"/>
      <c r="P4" s="294"/>
      <c r="Q4" s="294"/>
      <c r="R4" s="294"/>
      <c r="S4" s="294"/>
    </row>
    <row r="5" spans="1:19" ht="24" x14ac:dyDescent="0.25">
      <c r="A5" s="414" t="s">
        <v>499</v>
      </c>
      <c r="B5" s="263" t="s">
        <v>300</v>
      </c>
      <c r="C5" s="260">
        <f>C3-C4</f>
        <v>19</v>
      </c>
      <c r="D5" s="260">
        <f>D3-D4</f>
        <v>55</v>
      </c>
      <c r="E5" s="276"/>
      <c r="F5" s="276"/>
      <c r="G5" s="277"/>
      <c r="H5" s="278"/>
      <c r="I5" s="278"/>
      <c r="J5" s="232" t="s">
        <v>289</v>
      </c>
      <c r="K5" s="267">
        <v>2567893.5499999998</v>
      </c>
      <c r="L5" s="266">
        <v>5908662.5899999999</v>
      </c>
      <c r="M5" s="246">
        <v>0.85</v>
      </c>
      <c r="N5" s="294"/>
      <c r="O5" s="294"/>
      <c r="P5" s="294"/>
      <c r="Q5" s="294"/>
      <c r="R5" s="294"/>
      <c r="S5" s="294"/>
    </row>
    <row r="6" spans="1:19" s="307" customFormat="1" ht="288" x14ac:dyDescent="0.25">
      <c r="A6" s="332" t="s">
        <v>305</v>
      </c>
      <c r="B6" s="334" t="s">
        <v>300</v>
      </c>
      <c r="C6" s="334">
        <f>'Подробно разпределение '!P4</f>
        <v>2</v>
      </c>
      <c r="D6" s="334">
        <f>'Подробно разпределение '!AD4</f>
        <v>10</v>
      </c>
      <c r="E6" s="335" t="s">
        <v>421</v>
      </c>
      <c r="F6" s="336" t="s">
        <v>422</v>
      </c>
      <c r="G6" s="337" t="s">
        <v>320</v>
      </c>
      <c r="H6" s="335" t="s">
        <v>423</v>
      </c>
      <c r="I6" s="335" t="s">
        <v>368</v>
      </c>
      <c r="J6" s="231">
        <v>181</v>
      </c>
      <c r="K6" s="268">
        <v>2330854.4699999997</v>
      </c>
      <c r="L6" s="268">
        <v>5522555.5800000001</v>
      </c>
      <c r="M6" s="245"/>
      <c r="N6" s="338">
        <v>5</v>
      </c>
      <c r="O6" s="338"/>
      <c r="P6" s="338"/>
      <c r="Q6" s="338"/>
      <c r="R6" s="338"/>
      <c r="S6" s="338"/>
    </row>
    <row r="7" spans="1:19" ht="12" customHeight="1" x14ac:dyDescent="0.25">
      <c r="A7" s="414" t="s">
        <v>291</v>
      </c>
      <c r="B7" s="263" t="s">
        <v>300</v>
      </c>
      <c r="C7" s="261">
        <f>ROUND(C6/6,2)</f>
        <v>0.33</v>
      </c>
      <c r="D7" s="261">
        <f>ROUND(D6/6,2)</f>
        <v>1.67</v>
      </c>
      <c r="E7" s="276"/>
      <c r="F7" s="276"/>
      <c r="G7" s="277"/>
      <c r="H7" s="278"/>
      <c r="I7" s="278"/>
      <c r="J7" s="232" t="s">
        <v>291</v>
      </c>
      <c r="K7" s="267">
        <v>323109.28999999998</v>
      </c>
      <c r="L7" s="267">
        <v>902781.2</v>
      </c>
      <c r="M7" s="246">
        <v>0.7</v>
      </c>
      <c r="N7" s="294"/>
      <c r="O7" s="294"/>
      <c r="P7" s="294"/>
      <c r="Q7" s="294"/>
      <c r="R7" s="294"/>
      <c r="S7" s="294"/>
    </row>
    <row r="8" spans="1:19" ht="14.25" customHeight="1" x14ac:dyDescent="0.25">
      <c r="A8" s="414" t="s">
        <v>499</v>
      </c>
      <c r="B8" s="263" t="s">
        <v>300</v>
      </c>
      <c r="C8" s="261">
        <f>C6-C7</f>
        <v>1.67</v>
      </c>
      <c r="D8" s="261">
        <f>D6-D7</f>
        <v>8.33</v>
      </c>
      <c r="E8" s="276"/>
      <c r="F8" s="276"/>
      <c r="G8" s="277"/>
      <c r="H8" s="278"/>
      <c r="I8" s="278"/>
      <c r="J8" s="232" t="s">
        <v>289</v>
      </c>
      <c r="K8" s="266">
        <v>2007745.18</v>
      </c>
      <c r="L8" s="267">
        <v>4619774.38</v>
      </c>
      <c r="M8" s="246">
        <v>0.85</v>
      </c>
      <c r="N8" s="294"/>
      <c r="O8" s="294"/>
      <c r="P8" s="294"/>
      <c r="Q8" s="294"/>
      <c r="R8" s="294"/>
      <c r="S8" s="294"/>
    </row>
    <row r="9" spans="1:19" s="307" customFormat="1" ht="204" x14ac:dyDescent="0.25">
      <c r="A9" s="332" t="s">
        <v>326</v>
      </c>
      <c r="B9" s="333" t="s">
        <v>300</v>
      </c>
      <c r="C9" s="342">
        <f>'Подробно разпределение '!P5</f>
        <v>25</v>
      </c>
      <c r="D9" s="334">
        <f>'Подробно разпределение '!AD5</f>
        <v>44</v>
      </c>
      <c r="E9" s="335" t="s">
        <v>400</v>
      </c>
      <c r="F9" s="336" t="s">
        <v>424</v>
      </c>
      <c r="G9" s="337" t="s">
        <v>320</v>
      </c>
      <c r="H9" s="335" t="s">
        <v>425</v>
      </c>
      <c r="I9" s="335" t="s">
        <v>401</v>
      </c>
      <c r="J9" s="231">
        <v>180</v>
      </c>
      <c r="K9" s="268">
        <v>5076362.38</v>
      </c>
      <c r="L9" s="268">
        <v>12027560.640000001</v>
      </c>
      <c r="M9" s="245"/>
      <c r="N9" s="338">
        <v>10</v>
      </c>
      <c r="O9" s="338">
        <v>10</v>
      </c>
      <c r="P9" s="338">
        <v>10</v>
      </c>
      <c r="Q9" s="338">
        <v>10</v>
      </c>
      <c r="R9" s="338">
        <v>10</v>
      </c>
      <c r="S9" s="338"/>
    </row>
    <row r="10" spans="1:19" ht="12" customHeight="1" x14ac:dyDescent="0.25">
      <c r="A10" s="414" t="s">
        <v>291</v>
      </c>
      <c r="B10" s="263" t="s">
        <v>300</v>
      </c>
      <c r="C10" s="261">
        <f>ROUND(C9/6,0)</f>
        <v>4</v>
      </c>
      <c r="D10" s="261">
        <f>ROUND(D9/6,0)</f>
        <v>7</v>
      </c>
      <c r="E10" s="276"/>
      <c r="F10" s="276"/>
      <c r="G10" s="277"/>
      <c r="H10" s="278"/>
      <c r="I10" s="278"/>
      <c r="J10" s="232" t="s">
        <v>291</v>
      </c>
      <c r="K10" s="267">
        <v>703698.95</v>
      </c>
      <c r="L10" s="267">
        <v>1966165.0200000014</v>
      </c>
      <c r="M10" s="246">
        <v>0.7</v>
      </c>
      <c r="N10" s="294"/>
      <c r="O10" s="294"/>
      <c r="P10" s="294"/>
      <c r="Q10" s="294"/>
      <c r="R10" s="294"/>
      <c r="S10" s="294"/>
    </row>
    <row r="11" spans="1:19" ht="24" x14ac:dyDescent="0.25">
      <c r="A11" s="414" t="s">
        <v>499</v>
      </c>
      <c r="B11" s="263" t="s">
        <v>300</v>
      </c>
      <c r="C11" s="261">
        <f>C9-C10</f>
        <v>21</v>
      </c>
      <c r="D11" s="261">
        <f>D9-D10</f>
        <v>37</v>
      </c>
      <c r="E11" s="276"/>
      <c r="F11" s="276"/>
      <c r="G11" s="277"/>
      <c r="H11" s="278"/>
      <c r="I11" s="278"/>
      <c r="J11" s="232" t="s">
        <v>289</v>
      </c>
      <c r="K11" s="266">
        <v>4372663.43</v>
      </c>
      <c r="L11" s="267">
        <v>10061395.619999999</v>
      </c>
      <c r="M11" s="246">
        <v>0.85</v>
      </c>
      <c r="N11" s="294"/>
      <c r="O11" s="294"/>
      <c r="P11" s="294"/>
      <c r="Q11" s="294"/>
      <c r="R11" s="294"/>
      <c r="S11" s="294"/>
    </row>
    <row r="12" spans="1:19" s="306" customFormat="1" ht="57.75" customHeight="1" x14ac:dyDescent="0.25">
      <c r="A12" s="247" t="s">
        <v>360</v>
      </c>
      <c r="B12" s="238" t="s">
        <v>300</v>
      </c>
      <c r="C12" s="404">
        <f>'Подробно разпределение '!P6</f>
        <v>493</v>
      </c>
      <c r="D12" s="239">
        <f>'Подробно разпределение '!AD6</f>
        <v>1719</v>
      </c>
      <c r="E12" s="214" t="s">
        <v>342</v>
      </c>
      <c r="F12" s="215" t="s">
        <v>409</v>
      </c>
      <c r="G12" s="240" t="s">
        <v>320</v>
      </c>
      <c r="H12" s="279" t="s">
        <v>343</v>
      </c>
      <c r="I12" s="214" t="s">
        <v>346</v>
      </c>
      <c r="J12" s="231">
        <v>180</v>
      </c>
      <c r="K12" s="217">
        <v>5281488.55</v>
      </c>
      <c r="L12" s="217">
        <v>12513571.5</v>
      </c>
      <c r="M12" s="245"/>
      <c r="N12" s="294"/>
      <c r="O12" s="294">
        <v>15</v>
      </c>
      <c r="P12" s="294">
        <v>15</v>
      </c>
      <c r="Q12" s="294">
        <v>15</v>
      </c>
      <c r="R12" s="294">
        <v>0</v>
      </c>
      <c r="S12" s="294"/>
    </row>
    <row r="13" spans="1:19" x14ac:dyDescent="0.25">
      <c r="A13" s="414" t="s">
        <v>291</v>
      </c>
      <c r="B13" s="263" t="s">
        <v>300</v>
      </c>
      <c r="C13" s="260">
        <f>ROUND(C12/6,0)</f>
        <v>82</v>
      </c>
      <c r="D13" s="260">
        <f>ROUND(D12/6,0)</f>
        <v>287</v>
      </c>
      <c r="E13" s="276"/>
      <c r="F13" s="276"/>
      <c r="G13" s="277"/>
      <c r="H13" s="278"/>
      <c r="I13" s="278"/>
      <c r="J13" s="232" t="s">
        <v>291</v>
      </c>
      <c r="K13" s="267">
        <v>732134.11</v>
      </c>
      <c r="L13" s="267">
        <v>2045614.0099999998</v>
      </c>
      <c r="M13" s="246">
        <v>0.7</v>
      </c>
      <c r="N13" s="294"/>
      <c r="O13" s="294"/>
      <c r="P13" s="294"/>
      <c r="Q13" s="294"/>
      <c r="R13" s="294"/>
      <c r="S13" s="294"/>
    </row>
    <row r="14" spans="1:19" ht="24" x14ac:dyDescent="0.25">
      <c r="A14" s="414" t="s">
        <v>499</v>
      </c>
      <c r="B14" s="263" t="s">
        <v>300</v>
      </c>
      <c r="C14" s="260">
        <f>C12-C13</f>
        <v>411</v>
      </c>
      <c r="D14" s="260">
        <f>D12-D13</f>
        <v>1432</v>
      </c>
      <c r="E14" s="323"/>
      <c r="F14" s="276"/>
      <c r="G14" s="277"/>
      <c r="H14" s="278"/>
      <c r="I14" s="278"/>
      <c r="J14" s="232" t="s">
        <v>289</v>
      </c>
      <c r="K14" s="267">
        <v>4549354.4399999995</v>
      </c>
      <c r="L14" s="267">
        <v>10467957.49</v>
      </c>
      <c r="M14" s="246">
        <v>0.85</v>
      </c>
      <c r="N14" s="294"/>
      <c r="O14" s="294"/>
      <c r="P14" s="294"/>
      <c r="Q14" s="294"/>
      <c r="R14" s="294"/>
      <c r="S14" s="294"/>
    </row>
    <row r="15" spans="1:19" s="307" customFormat="1" ht="248.25" customHeight="1" x14ac:dyDescent="0.25">
      <c r="A15" s="339" t="s">
        <v>413</v>
      </c>
      <c r="B15" s="333" t="s">
        <v>296</v>
      </c>
      <c r="C15" s="342">
        <v>92</v>
      </c>
      <c r="D15" s="334">
        <v>94</v>
      </c>
      <c r="E15" s="335" t="s">
        <v>414</v>
      </c>
      <c r="F15" s="335" t="s">
        <v>415</v>
      </c>
      <c r="G15" s="337" t="s">
        <v>320</v>
      </c>
      <c r="H15" s="340" t="s">
        <v>411</v>
      </c>
      <c r="I15" s="335" t="s">
        <v>410</v>
      </c>
      <c r="J15" s="231">
        <v>180</v>
      </c>
      <c r="K15" s="217">
        <v>1438622.64</v>
      </c>
      <c r="L15" s="217">
        <v>3408566.93</v>
      </c>
      <c r="M15" s="245"/>
      <c r="N15" s="338"/>
      <c r="O15" s="338"/>
      <c r="P15" s="338"/>
      <c r="Q15" s="338"/>
      <c r="R15" s="341">
        <v>61</v>
      </c>
      <c r="S15" s="338"/>
    </row>
    <row r="16" spans="1:19" x14ac:dyDescent="0.25">
      <c r="A16" s="414" t="s">
        <v>291</v>
      </c>
      <c r="B16" s="264" t="s">
        <v>296</v>
      </c>
      <c r="C16" s="262">
        <v>92</v>
      </c>
      <c r="D16" s="260">
        <v>94</v>
      </c>
      <c r="E16" s="276"/>
      <c r="F16" s="276"/>
      <c r="G16" s="277"/>
      <c r="H16" s="278"/>
      <c r="I16" s="278"/>
      <c r="J16" s="232" t="s">
        <v>291</v>
      </c>
      <c r="K16" s="267">
        <v>199425.73</v>
      </c>
      <c r="L16" s="267">
        <v>557204.01000000024</v>
      </c>
      <c r="M16" s="246">
        <v>0.7</v>
      </c>
      <c r="N16" s="294"/>
      <c r="O16" s="294"/>
      <c r="P16" s="294"/>
      <c r="Q16" s="294"/>
      <c r="R16" s="294"/>
      <c r="S16" s="294"/>
    </row>
    <row r="17" spans="1:19" ht="24" x14ac:dyDescent="0.25">
      <c r="A17" s="414" t="s">
        <v>499</v>
      </c>
      <c r="B17" s="264" t="s">
        <v>296</v>
      </c>
      <c r="C17" s="262">
        <v>92</v>
      </c>
      <c r="D17" s="260">
        <v>94</v>
      </c>
      <c r="E17" s="276"/>
      <c r="F17" s="276"/>
      <c r="G17" s="277"/>
      <c r="H17" s="278"/>
      <c r="I17" s="278"/>
      <c r="J17" s="232" t="s">
        <v>289</v>
      </c>
      <c r="K17" s="267">
        <v>1239196.9099999999</v>
      </c>
      <c r="L17" s="267">
        <v>2851362.92</v>
      </c>
      <c r="M17" s="246">
        <v>0.85</v>
      </c>
      <c r="N17" s="294"/>
      <c r="O17" s="294"/>
      <c r="P17" s="294"/>
      <c r="Q17" s="294"/>
      <c r="R17" s="294"/>
      <c r="S17" s="294"/>
    </row>
    <row r="18" spans="1:19" s="307" customFormat="1" ht="48" x14ac:dyDescent="0.25">
      <c r="A18" s="399" t="s">
        <v>361</v>
      </c>
      <c r="B18" s="333" t="s">
        <v>300</v>
      </c>
      <c r="C18" s="342">
        <f>'Подробно разпределение '!P8</f>
        <v>0</v>
      </c>
      <c r="D18" s="393">
        <f>'Подробно разпределение '!AD8</f>
        <v>0</v>
      </c>
      <c r="E18" s="394"/>
      <c r="F18" s="394"/>
      <c r="G18" s="395"/>
      <c r="H18" s="396"/>
      <c r="I18" s="394"/>
      <c r="J18" s="231">
        <v>180</v>
      </c>
      <c r="K18" s="217">
        <v>1792534.62</v>
      </c>
      <c r="L18" s="217">
        <v>4247100</v>
      </c>
      <c r="M18" s="245"/>
      <c r="N18" s="338"/>
      <c r="O18" s="338"/>
      <c r="P18" s="338"/>
      <c r="Q18" s="338"/>
      <c r="R18" s="341"/>
      <c r="S18" s="338"/>
    </row>
    <row r="19" spans="1:19" x14ac:dyDescent="0.25">
      <c r="A19" s="414" t="s">
        <v>291</v>
      </c>
      <c r="B19" s="263" t="s">
        <v>300</v>
      </c>
      <c r="C19" s="260">
        <f>ROUND(C18/6,2)</f>
        <v>0</v>
      </c>
      <c r="D19" s="261">
        <f>ROUND(D18/6,2)</f>
        <v>0</v>
      </c>
      <c r="E19" s="276"/>
      <c r="F19" s="276"/>
      <c r="G19" s="277"/>
      <c r="H19" s="278"/>
      <c r="I19" s="278"/>
      <c r="J19" s="232" t="s">
        <v>291</v>
      </c>
      <c r="K19" s="266">
        <v>248485.96000000002</v>
      </c>
      <c r="L19" s="266">
        <v>694280.39</v>
      </c>
      <c r="M19" s="246">
        <v>0.7</v>
      </c>
      <c r="N19" s="294"/>
      <c r="O19" s="294"/>
      <c r="P19" s="294"/>
      <c r="Q19" s="294"/>
      <c r="R19" s="294"/>
      <c r="S19" s="294"/>
    </row>
    <row r="20" spans="1:19" ht="24" x14ac:dyDescent="0.25">
      <c r="A20" s="414" t="s">
        <v>499</v>
      </c>
      <c r="B20" s="263" t="s">
        <v>300</v>
      </c>
      <c r="C20" s="260">
        <f>C18-C19</f>
        <v>0</v>
      </c>
      <c r="D20" s="261">
        <f>D18-D19</f>
        <v>0</v>
      </c>
      <c r="E20" s="276"/>
      <c r="F20" s="276"/>
      <c r="G20" s="277"/>
      <c r="H20" s="278"/>
      <c r="I20" s="278"/>
      <c r="J20" s="232" t="s">
        <v>289</v>
      </c>
      <c r="K20" s="266">
        <v>1544048.66</v>
      </c>
      <c r="L20" s="266">
        <v>3552819.61</v>
      </c>
      <c r="M20" s="246">
        <v>0.85</v>
      </c>
      <c r="N20" s="294"/>
      <c r="O20" s="294"/>
      <c r="P20" s="294"/>
      <c r="Q20" s="294"/>
      <c r="R20" s="294"/>
      <c r="S20" s="294"/>
    </row>
    <row r="21" spans="1:19" s="307" customFormat="1" ht="178.5" customHeight="1" x14ac:dyDescent="0.25">
      <c r="A21" s="332" t="s">
        <v>362</v>
      </c>
      <c r="B21" s="333" t="s">
        <v>300</v>
      </c>
      <c r="C21" s="342">
        <f>'Подробно разпределение '!P9</f>
        <v>25</v>
      </c>
      <c r="D21" s="342">
        <f>'Подробно разпределение '!AD9</f>
        <v>75</v>
      </c>
      <c r="E21" s="335" t="s">
        <v>426</v>
      </c>
      <c r="F21" s="343" t="s">
        <v>395</v>
      </c>
      <c r="G21" s="337" t="s">
        <v>320</v>
      </c>
      <c r="H21" s="335" t="s">
        <v>427</v>
      </c>
      <c r="I21" s="335" t="s">
        <v>347</v>
      </c>
      <c r="J21" s="231">
        <v>180</v>
      </c>
      <c r="K21" s="217">
        <v>5622120.3699999992</v>
      </c>
      <c r="L21" s="217">
        <v>13320639.6</v>
      </c>
      <c r="M21" s="245"/>
      <c r="N21" s="338">
        <v>8</v>
      </c>
      <c r="O21" s="338"/>
      <c r="P21" s="338"/>
      <c r="Q21" s="338"/>
      <c r="R21" s="338"/>
      <c r="S21" s="338"/>
    </row>
    <row r="22" spans="1:19" x14ac:dyDescent="0.25">
      <c r="A22" s="414" t="s">
        <v>291</v>
      </c>
      <c r="B22" s="263" t="s">
        <v>300</v>
      </c>
      <c r="C22" s="260">
        <f>ROUND(C21/6,0)</f>
        <v>4</v>
      </c>
      <c r="D22" s="260">
        <f>ROUND(D21/6,0)</f>
        <v>13</v>
      </c>
      <c r="E22" s="276"/>
      <c r="F22" s="276"/>
      <c r="G22" s="277"/>
      <c r="H22" s="278"/>
      <c r="I22" s="278"/>
      <c r="J22" s="232" t="s">
        <v>291</v>
      </c>
      <c r="K22" s="267">
        <v>779353.39</v>
      </c>
      <c r="L22" s="267">
        <v>2177546.7599999998</v>
      </c>
      <c r="M22" s="246">
        <v>0.7</v>
      </c>
      <c r="N22" s="294"/>
      <c r="O22" s="294"/>
      <c r="P22" s="294"/>
      <c r="Q22" s="294"/>
      <c r="R22" s="294"/>
      <c r="S22" s="294"/>
    </row>
    <row r="23" spans="1:19" ht="24" x14ac:dyDescent="0.25">
      <c r="A23" s="414" t="s">
        <v>499</v>
      </c>
      <c r="B23" s="263" t="s">
        <v>300</v>
      </c>
      <c r="C23" s="260">
        <f>C21-C22</f>
        <v>21</v>
      </c>
      <c r="D23" s="260">
        <f>D21-D22</f>
        <v>62</v>
      </c>
      <c r="E23" s="276"/>
      <c r="F23" s="276"/>
      <c r="G23" s="277"/>
      <c r="H23" s="278"/>
      <c r="I23" s="278"/>
      <c r="J23" s="232" t="s">
        <v>289</v>
      </c>
      <c r="K23" s="267">
        <v>4842766.9799999995</v>
      </c>
      <c r="L23" s="267">
        <v>11143092.84</v>
      </c>
      <c r="M23" s="246">
        <v>0.85</v>
      </c>
      <c r="N23" s="294"/>
      <c r="O23" s="294"/>
      <c r="P23" s="294"/>
      <c r="Q23" s="294"/>
      <c r="R23" s="294"/>
      <c r="S23" s="294"/>
    </row>
    <row r="24" spans="1:19" s="307" customFormat="1" ht="115.5" customHeight="1" x14ac:dyDescent="0.25">
      <c r="A24" s="332" t="s">
        <v>363</v>
      </c>
      <c r="B24" s="333" t="s">
        <v>296</v>
      </c>
      <c r="C24" s="342">
        <v>10</v>
      </c>
      <c r="D24" s="342">
        <v>30</v>
      </c>
      <c r="E24" s="335" t="s">
        <v>428</v>
      </c>
      <c r="F24" s="343" t="s">
        <v>402</v>
      </c>
      <c r="G24" s="337" t="s">
        <v>320</v>
      </c>
      <c r="H24" s="335" t="s">
        <v>403</v>
      </c>
      <c r="I24" s="335" t="s">
        <v>348</v>
      </c>
      <c r="J24" s="231">
        <v>180</v>
      </c>
      <c r="K24" s="217">
        <v>6013696.29</v>
      </c>
      <c r="L24" s="217">
        <v>14248410.890000001</v>
      </c>
      <c r="M24" s="245"/>
      <c r="N24" s="338">
        <v>8</v>
      </c>
      <c r="O24" s="338"/>
      <c r="P24" s="338"/>
      <c r="Q24" s="338"/>
      <c r="R24" s="338"/>
      <c r="S24" s="338"/>
    </row>
    <row r="25" spans="1:19" x14ac:dyDescent="0.25">
      <c r="A25" s="414" t="s">
        <v>291</v>
      </c>
      <c r="B25" s="264" t="s">
        <v>296</v>
      </c>
      <c r="C25" s="262">
        <v>10</v>
      </c>
      <c r="D25" s="260">
        <v>30</v>
      </c>
      <c r="E25" s="276"/>
      <c r="F25" s="276"/>
      <c r="G25" s="277"/>
      <c r="H25" s="278"/>
      <c r="I25" s="278"/>
      <c r="J25" s="232" t="s">
        <v>291</v>
      </c>
      <c r="K25" s="267">
        <v>833634.69</v>
      </c>
      <c r="L25" s="267">
        <v>2329211.0500000007</v>
      </c>
      <c r="M25" s="246">
        <v>0.7</v>
      </c>
      <c r="N25" s="294"/>
      <c r="O25" s="294"/>
      <c r="P25" s="294"/>
      <c r="Q25" s="294"/>
      <c r="R25" s="294"/>
      <c r="S25" s="294"/>
    </row>
    <row r="26" spans="1:19" ht="24" x14ac:dyDescent="0.25">
      <c r="A26" s="414" t="s">
        <v>499</v>
      </c>
      <c r="B26" s="264" t="s">
        <v>296</v>
      </c>
      <c r="C26" s="262">
        <v>10</v>
      </c>
      <c r="D26" s="260">
        <v>30</v>
      </c>
      <c r="E26" s="276"/>
      <c r="F26" s="276"/>
      <c r="G26" s="277"/>
      <c r="H26" s="278"/>
      <c r="I26" s="278"/>
      <c r="J26" s="232" t="s">
        <v>289</v>
      </c>
      <c r="K26" s="267">
        <v>5180061.5999999996</v>
      </c>
      <c r="L26" s="267">
        <v>11919199.84</v>
      </c>
      <c r="M26" s="246">
        <v>0.85</v>
      </c>
      <c r="N26" s="294"/>
      <c r="O26" s="294"/>
      <c r="P26" s="294"/>
      <c r="Q26" s="294"/>
      <c r="R26" s="294"/>
      <c r="S26" s="294"/>
    </row>
    <row r="27" spans="1:19" s="307" customFormat="1" ht="133.5" customHeight="1" x14ac:dyDescent="0.25">
      <c r="A27" s="332" t="s">
        <v>364</v>
      </c>
      <c r="B27" s="333" t="s">
        <v>296</v>
      </c>
      <c r="C27" s="342">
        <v>20</v>
      </c>
      <c r="D27" s="342">
        <v>40</v>
      </c>
      <c r="E27" s="335" t="s">
        <v>407</v>
      </c>
      <c r="F27" s="343" t="s">
        <v>404</v>
      </c>
      <c r="G27" s="337" t="s">
        <v>320</v>
      </c>
      <c r="H27" s="335" t="s">
        <v>403</v>
      </c>
      <c r="I27" s="335" t="s">
        <v>375</v>
      </c>
      <c r="J27" s="231">
        <v>180</v>
      </c>
      <c r="K27" s="217">
        <v>6013696.29</v>
      </c>
      <c r="L27" s="217">
        <v>14248410.890000001</v>
      </c>
      <c r="M27" s="245"/>
      <c r="N27" s="338">
        <v>8</v>
      </c>
      <c r="O27" s="338"/>
      <c r="P27" s="338"/>
      <c r="Q27" s="338"/>
      <c r="R27" s="338"/>
      <c r="S27" s="338"/>
    </row>
    <row r="28" spans="1:19" x14ac:dyDescent="0.25">
      <c r="A28" s="414" t="s">
        <v>291</v>
      </c>
      <c r="B28" s="264" t="s">
        <v>296</v>
      </c>
      <c r="C28" s="262">
        <v>20</v>
      </c>
      <c r="D28" s="260">
        <v>40</v>
      </c>
      <c r="E28" s="276"/>
      <c r="F28" s="276"/>
      <c r="G28" s="277"/>
      <c r="H28" s="278"/>
      <c r="I28" s="278"/>
      <c r="J28" s="232" t="s">
        <v>291</v>
      </c>
      <c r="K28" s="267">
        <v>833634.69</v>
      </c>
      <c r="L28" s="267">
        <v>2329211.0500000007</v>
      </c>
      <c r="M28" s="246">
        <v>0.7</v>
      </c>
      <c r="N28" s="294"/>
      <c r="O28" s="294"/>
      <c r="P28" s="294"/>
      <c r="Q28" s="294"/>
      <c r="R28" s="294"/>
      <c r="S28" s="294"/>
    </row>
    <row r="29" spans="1:19" ht="24" x14ac:dyDescent="0.25">
      <c r="A29" s="414" t="s">
        <v>499</v>
      </c>
      <c r="B29" s="264" t="s">
        <v>296</v>
      </c>
      <c r="C29" s="262">
        <v>20</v>
      </c>
      <c r="D29" s="260">
        <v>40</v>
      </c>
      <c r="E29" s="276"/>
      <c r="F29" s="276"/>
      <c r="G29" s="277"/>
      <c r="H29" s="278"/>
      <c r="I29" s="278"/>
      <c r="J29" s="232" t="s">
        <v>289</v>
      </c>
      <c r="K29" s="267">
        <v>5180061.5999999996</v>
      </c>
      <c r="L29" s="267">
        <v>11919199.84</v>
      </c>
      <c r="M29" s="246">
        <v>0.85</v>
      </c>
      <c r="N29" s="294"/>
      <c r="O29" s="294"/>
      <c r="P29" s="294"/>
      <c r="Q29" s="294"/>
      <c r="R29" s="294"/>
      <c r="S29" s="294"/>
    </row>
    <row r="30" spans="1:19" s="307" customFormat="1" ht="338.25" customHeight="1" x14ac:dyDescent="0.25">
      <c r="A30" s="247" t="s">
        <v>445</v>
      </c>
      <c r="B30" s="333" t="s">
        <v>300</v>
      </c>
      <c r="C30" s="342">
        <f>'Подробно разпределение '!P12</f>
        <v>292.53999999999996</v>
      </c>
      <c r="D30" s="344">
        <f>'Подробно разпределение '!AD12</f>
        <v>292.53999999999996</v>
      </c>
      <c r="E30" s="335" t="s">
        <v>429</v>
      </c>
      <c r="F30" s="335" t="s">
        <v>430</v>
      </c>
      <c r="G30" s="337" t="s">
        <v>320</v>
      </c>
      <c r="H30" s="335" t="s">
        <v>349</v>
      </c>
      <c r="I30" s="335" t="s">
        <v>350</v>
      </c>
      <c r="J30" s="231">
        <v>180</v>
      </c>
      <c r="K30" s="268">
        <v>15821563.869999999</v>
      </c>
      <c r="L30" s="268">
        <v>37486452.939999998</v>
      </c>
      <c r="M30" s="245"/>
      <c r="N30" s="338">
        <v>27</v>
      </c>
      <c r="O30" s="338">
        <v>46</v>
      </c>
      <c r="P30" s="338">
        <v>46</v>
      </c>
      <c r="Q30" s="338">
        <v>46</v>
      </c>
      <c r="R30" s="338">
        <v>0</v>
      </c>
      <c r="S30" s="338">
        <v>65</v>
      </c>
    </row>
    <row r="31" spans="1:19" s="307" customFormat="1" x14ac:dyDescent="0.25">
      <c r="A31" s="414" t="s">
        <v>291</v>
      </c>
      <c r="B31" s="345" t="s">
        <v>300</v>
      </c>
      <c r="C31" s="346">
        <f>ROUND(C30/6,0)</f>
        <v>49</v>
      </c>
      <c r="D31" s="346">
        <f>ROUND(D30/6,0)</f>
        <v>49</v>
      </c>
      <c r="E31" s="347"/>
      <c r="F31" s="347"/>
      <c r="G31" s="348"/>
      <c r="H31" s="349"/>
      <c r="I31" s="349"/>
      <c r="J31" s="232" t="s">
        <v>291</v>
      </c>
      <c r="K31" s="266">
        <v>2193227.56</v>
      </c>
      <c r="L31" s="266">
        <v>6127971.8099999987</v>
      </c>
      <c r="M31" s="246">
        <v>0.7</v>
      </c>
      <c r="N31" s="338"/>
      <c r="O31" s="338"/>
      <c r="P31" s="338"/>
      <c r="Q31" s="338"/>
      <c r="R31" s="338"/>
      <c r="S31" s="338"/>
    </row>
    <row r="32" spans="1:19" s="307" customFormat="1" ht="24" x14ac:dyDescent="0.25">
      <c r="A32" s="414" t="s">
        <v>499</v>
      </c>
      <c r="B32" s="345" t="s">
        <v>300</v>
      </c>
      <c r="C32" s="346">
        <f>C30-C31</f>
        <v>243.53999999999996</v>
      </c>
      <c r="D32" s="346">
        <f>D30-D31</f>
        <v>243.53999999999996</v>
      </c>
      <c r="E32" s="347"/>
      <c r="F32" s="347"/>
      <c r="G32" s="348"/>
      <c r="H32" s="349"/>
      <c r="I32" s="349"/>
      <c r="J32" s="232" t="s">
        <v>289</v>
      </c>
      <c r="K32" s="266">
        <v>13628336.309999999</v>
      </c>
      <c r="L32" s="266">
        <v>31358481.129999999</v>
      </c>
      <c r="M32" s="246">
        <v>0.85</v>
      </c>
      <c r="N32" s="338"/>
      <c r="O32" s="338"/>
      <c r="P32" s="338"/>
      <c r="Q32" s="338"/>
      <c r="R32" s="338"/>
      <c r="S32" s="338"/>
    </row>
    <row r="33" spans="1:19" s="307" customFormat="1" ht="206.25" customHeight="1" x14ac:dyDescent="0.25">
      <c r="A33" s="339" t="s">
        <v>431</v>
      </c>
      <c r="B33" s="333" t="s">
        <v>300</v>
      </c>
      <c r="C33" s="342">
        <f>'Подробно разпределение '!P13</f>
        <v>35</v>
      </c>
      <c r="D33" s="334">
        <f>'Подробно разпределение '!AD13</f>
        <v>94</v>
      </c>
      <c r="E33" s="335" t="s">
        <v>432</v>
      </c>
      <c r="F33" s="335" t="s">
        <v>433</v>
      </c>
      <c r="G33" s="337" t="s">
        <v>447</v>
      </c>
      <c r="H33" s="335" t="s">
        <v>434</v>
      </c>
      <c r="I33" s="335" t="s">
        <v>396</v>
      </c>
      <c r="J33" s="231">
        <v>182</v>
      </c>
      <c r="K33" s="268">
        <v>3960945.3400000003</v>
      </c>
      <c r="L33" s="268">
        <v>9384773.3399999999</v>
      </c>
      <c r="M33" s="245"/>
      <c r="N33" s="338">
        <v>3</v>
      </c>
      <c r="O33" s="338">
        <v>8</v>
      </c>
      <c r="P33" s="338">
        <v>8</v>
      </c>
      <c r="Q33" s="338">
        <v>8</v>
      </c>
      <c r="R33" s="338">
        <v>8</v>
      </c>
      <c r="S33" s="338"/>
    </row>
    <row r="34" spans="1:19" x14ac:dyDescent="0.25">
      <c r="A34" s="414" t="s">
        <v>291</v>
      </c>
      <c r="B34" s="263" t="s">
        <v>300</v>
      </c>
      <c r="C34" s="260">
        <f>ROUND(C33/6,0)</f>
        <v>6</v>
      </c>
      <c r="D34" s="260">
        <f>ROUND(D33/6,0)</f>
        <v>16</v>
      </c>
      <c r="E34" s="276"/>
      <c r="F34" s="276"/>
      <c r="G34" s="277"/>
      <c r="H34" s="278"/>
      <c r="I34" s="278"/>
      <c r="J34" s="232" t="s">
        <v>291</v>
      </c>
      <c r="K34" s="267">
        <v>549076.85</v>
      </c>
      <c r="L34" s="267">
        <v>1534144.2599999998</v>
      </c>
      <c r="M34" s="246">
        <v>0.7</v>
      </c>
      <c r="N34" s="294"/>
      <c r="O34" s="294"/>
      <c r="P34" s="294"/>
      <c r="Q34" s="294"/>
      <c r="R34" s="294"/>
      <c r="S34" s="294"/>
    </row>
    <row r="35" spans="1:19" ht="24" x14ac:dyDescent="0.25">
      <c r="A35" s="414" t="s">
        <v>499</v>
      </c>
      <c r="B35" s="263" t="s">
        <v>300</v>
      </c>
      <c r="C35" s="260">
        <f>C33-C34</f>
        <v>29</v>
      </c>
      <c r="D35" s="260">
        <f>D33-D34</f>
        <v>78</v>
      </c>
      <c r="E35" s="276"/>
      <c r="F35" s="276"/>
      <c r="G35" s="277"/>
      <c r="H35" s="278"/>
      <c r="I35" s="278"/>
      <c r="J35" s="232" t="s">
        <v>289</v>
      </c>
      <c r="K35" s="267">
        <v>3411868.49</v>
      </c>
      <c r="L35" s="267">
        <v>7850629.0800000001</v>
      </c>
      <c r="M35" s="246">
        <v>0.85</v>
      </c>
      <c r="N35" s="294"/>
      <c r="O35" s="294"/>
      <c r="P35" s="294"/>
      <c r="Q35" s="294"/>
      <c r="R35" s="294"/>
      <c r="S35" s="294"/>
    </row>
    <row r="36" spans="1:19" s="307" customFormat="1" ht="206.25" customHeight="1" x14ac:dyDescent="0.25">
      <c r="A36" s="339" t="s">
        <v>442</v>
      </c>
      <c r="B36" s="333" t="s">
        <v>300</v>
      </c>
      <c r="C36" s="342">
        <f>'Подробно разпределение '!P14</f>
        <v>10579.463000000003</v>
      </c>
      <c r="D36" s="334">
        <f>'Подробно разпределение '!AD14</f>
        <v>19517.543333333335</v>
      </c>
      <c r="E36" s="335" t="s">
        <v>435</v>
      </c>
      <c r="F36" s="335" t="s">
        <v>436</v>
      </c>
      <c r="G36" s="337" t="s">
        <v>447</v>
      </c>
      <c r="H36" s="335" t="s">
        <v>379</v>
      </c>
      <c r="I36" s="335" t="s">
        <v>378</v>
      </c>
      <c r="J36" s="231">
        <v>182</v>
      </c>
      <c r="K36" s="268">
        <v>6204150.79</v>
      </c>
      <c r="L36" s="268">
        <v>14699659.810000001</v>
      </c>
      <c r="M36" s="245"/>
      <c r="N36" s="338">
        <v>3</v>
      </c>
      <c r="O36" s="338">
        <v>8</v>
      </c>
      <c r="P36" s="338">
        <v>8</v>
      </c>
      <c r="Q36" s="338">
        <v>8</v>
      </c>
      <c r="R36" s="338">
        <v>8</v>
      </c>
      <c r="S36" s="338"/>
    </row>
    <row r="37" spans="1:19" x14ac:dyDescent="0.25">
      <c r="A37" s="414" t="s">
        <v>291</v>
      </c>
      <c r="B37" s="263" t="s">
        <v>300</v>
      </c>
      <c r="C37" s="260">
        <f>ROUND(C36/6,0)</f>
        <v>1763</v>
      </c>
      <c r="D37" s="260">
        <f>ROUND(D36/6,0)</f>
        <v>3253</v>
      </c>
      <c r="E37" s="276"/>
      <c r="F37" s="276"/>
      <c r="G37" s="277"/>
      <c r="H37" s="278"/>
      <c r="I37" s="278"/>
      <c r="J37" s="232" t="s">
        <v>291</v>
      </c>
      <c r="K37" s="267">
        <v>860036</v>
      </c>
      <c r="L37" s="267">
        <v>2402977.4500000011</v>
      </c>
      <c r="M37" s="246">
        <v>0.7</v>
      </c>
      <c r="N37" s="294"/>
      <c r="O37" s="294"/>
      <c r="P37" s="294"/>
      <c r="Q37" s="294"/>
      <c r="R37" s="294"/>
      <c r="S37" s="294"/>
    </row>
    <row r="38" spans="1:19" ht="24" x14ac:dyDescent="0.25">
      <c r="A38" s="414" t="s">
        <v>499</v>
      </c>
      <c r="B38" s="263" t="s">
        <v>300</v>
      </c>
      <c r="C38" s="260">
        <f>C36-C37</f>
        <v>8816.4630000000034</v>
      </c>
      <c r="D38" s="260">
        <f>D36-D37</f>
        <v>16264.543333333335</v>
      </c>
      <c r="E38" s="276"/>
      <c r="F38" s="276"/>
      <c r="G38" s="277"/>
      <c r="H38" s="278"/>
      <c r="I38" s="278"/>
      <c r="J38" s="232" t="s">
        <v>289</v>
      </c>
      <c r="K38" s="267">
        <v>5344114.79</v>
      </c>
      <c r="L38" s="267">
        <v>12296682.359999999</v>
      </c>
      <c r="M38" s="246">
        <v>0.85</v>
      </c>
      <c r="N38" s="294"/>
      <c r="O38" s="294"/>
      <c r="P38" s="294"/>
      <c r="Q38" s="294"/>
      <c r="R38" s="294"/>
      <c r="S38" s="294"/>
    </row>
    <row r="39" spans="1:19" ht="195" customHeight="1" x14ac:dyDescent="0.25">
      <c r="A39" s="247" t="s">
        <v>441</v>
      </c>
      <c r="B39" s="238" t="s">
        <v>296</v>
      </c>
      <c r="C39" s="404">
        <f>'Подробно разпределение '!P15</f>
        <v>70</v>
      </c>
      <c r="D39" s="239">
        <f>'Подробно разпределение '!AD15</f>
        <v>80</v>
      </c>
      <c r="E39" s="214" t="s">
        <v>351</v>
      </c>
      <c r="F39" s="216" t="s">
        <v>389</v>
      </c>
      <c r="G39" s="337" t="s">
        <v>447</v>
      </c>
      <c r="H39" s="214" t="s">
        <v>352</v>
      </c>
      <c r="I39" s="214" t="s">
        <v>353</v>
      </c>
      <c r="J39" s="231">
        <v>182</v>
      </c>
      <c r="K39" s="268">
        <v>4013846.7399999998</v>
      </c>
      <c r="L39" s="268">
        <v>9510114.0299999993</v>
      </c>
      <c r="M39" s="245"/>
      <c r="N39" s="294">
        <v>3</v>
      </c>
      <c r="O39" s="294">
        <v>8</v>
      </c>
      <c r="P39" s="294">
        <v>8</v>
      </c>
      <c r="Q39" s="294">
        <v>8</v>
      </c>
      <c r="R39" s="294">
        <v>8</v>
      </c>
      <c r="S39" s="294"/>
    </row>
    <row r="40" spans="1:19" x14ac:dyDescent="0.25">
      <c r="A40" s="414" t="s">
        <v>291</v>
      </c>
      <c r="B40" s="264" t="s">
        <v>296</v>
      </c>
      <c r="C40" s="262">
        <v>70</v>
      </c>
      <c r="D40" s="260">
        <v>80</v>
      </c>
      <c r="E40" s="276"/>
      <c r="F40" s="276"/>
      <c r="G40" s="277"/>
      <c r="H40" s="278"/>
      <c r="I40" s="278"/>
      <c r="J40" s="232" t="s">
        <v>291</v>
      </c>
      <c r="K40" s="267">
        <v>556410.18999999994</v>
      </c>
      <c r="L40" s="267">
        <v>1554633.9099999992</v>
      </c>
      <c r="M40" s="246">
        <v>0.7</v>
      </c>
      <c r="N40" s="294"/>
      <c r="O40" s="294"/>
      <c r="P40" s="294"/>
      <c r="Q40" s="294"/>
      <c r="R40" s="294"/>
      <c r="S40" s="294"/>
    </row>
    <row r="41" spans="1:19" ht="24" x14ac:dyDescent="0.25">
      <c r="A41" s="414" t="s">
        <v>499</v>
      </c>
      <c r="B41" s="264" t="s">
        <v>296</v>
      </c>
      <c r="C41" s="262">
        <v>70</v>
      </c>
      <c r="D41" s="260">
        <v>80</v>
      </c>
      <c r="E41" s="276"/>
      <c r="F41" s="276"/>
      <c r="G41" s="277"/>
      <c r="H41" s="278"/>
      <c r="I41" s="278"/>
      <c r="J41" s="232" t="s">
        <v>289</v>
      </c>
      <c r="K41" s="267">
        <v>3457436.55</v>
      </c>
      <c r="L41" s="267">
        <v>7955480.1200000001</v>
      </c>
      <c r="M41" s="246">
        <v>0.85</v>
      </c>
      <c r="N41" s="294"/>
      <c r="O41" s="294"/>
      <c r="P41" s="294"/>
      <c r="Q41" s="294"/>
      <c r="R41" s="294"/>
      <c r="S41" s="294"/>
    </row>
    <row r="42" spans="1:19" ht="24" x14ac:dyDescent="0.25">
      <c r="A42" s="399" t="s">
        <v>370</v>
      </c>
      <c r="B42" s="333" t="s">
        <v>300</v>
      </c>
      <c r="C42" s="342">
        <f>'Подробно разпределение '!P16</f>
        <v>0</v>
      </c>
      <c r="D42" s="393">
        <f>'Подробно разпределение '!AD16</f>
        <v>0</v>
      </c>
      <c r="E42" s="394"/>
      <c r="F42" s="398"/>
      <c r="G42" s="395"/>
      <c r="H42" s="394"/>
      <c r="I42" s="394"/>
      <c r="J42" s="231">
        <v>182</v>
      </c>
      <c r="K42" s="268">
        <v>3788540.4599999995</v>
      </c>
      <c r="L42" s="268">
        <v>8976289.8800000008</v>
      </c>
      <c r="M42" s="245"/>
      <c r="N42" s="294"/>
      <c r="O42" s="294"/>
      <c r="P42" s="294"/>
      <c r="Q42" s="294"/>
      <c r="R42" s="294"/>
      <c r="S42" s="294">
        <v>5</v>
      </c>
    </row>
    <row r="43" spans="1:19" s="307" customFormat="1" x14ac:dyDescent="0.25">
      <c r="A43" s="414" t="s">
        <v>291</v>
      </c>
      <c r="B43" s="345" t="s">
        <v>300</v>
      </c>
      <c r="C43" s="346">
        <f>ROUND(C42/6,0)</f>
        <v>0</v>
      </c>
      <c r="D43" s="346">
        <f>ROUND(D42/6,0)</f>
        <v>0</v>
      </c>
      <c r="E43" s="347"/>
      <c r="F43" s="347"/>
      <c r="G43" s="348"/>
      <c r="H43" s="349"/>
      <c r="I43" s="349"/>
      <c r="J43" s="232" t="s">
        <v>291</v>
      </c>
      <c r="K43" s="266">
        <v>525177.63</v>
      </c>
      <c r="L43" s="266">
        <v>1467368.8000000007</v>
      </c>
      <c r="M43" s="246">
        <v>0.7</v>
      </c>
      <c r="N43" s="338"/>
      <c r="O43" s="338"/>
      <c r="P43" s="338"/>
      <c r="Q43" s="338"/>
      <c r="R43" s="338"/>
      <c r="S43" s="338"/>
    </row>
    <row r="44" spans="1:19" s="307" customFormat="1" ht="24" x14ac:dyDescent="0.25">
      <c r="A44" s="414" t="s">
        <v>499</v>
      </c>
      <c r="B44" s="345" t="s">
        <v>300</v>
      </c>
      <c r="C44" s="346">
        <f>C42-C43</f>
        <v>0</v>
      </c>
      <c r="D44" s="346">
        <f>D42-D43</f>
        <v>0</v>
      </c>
      <c r="E44" s="347"/>
      <c r="F44" s="347"/>
      <c r="G44" s="348"/>
      <c r="H44" s="349"/>
      <c r="I44" s="349"/>
      <c r="J44" s="232" t="s">
        <v>289</v>
      </c>
      <c r="K44" s="266">
        <v>3263362.8299999996</v>
      </c>
      <c r="L44" s="266">
        <v>7508921.0800000001</v>
      </c>
      <c r="M44" s="246">
        <v>0.85</v>
      </c>
      <c r="N44" s="338"/>
      <c r="O44" s="338"/>
      <c r="P44" s="338"/>
      <c r="Q44" s="338"/>
      <c r="R44" s="338"/>
      <c r="S44" s="338"/>
    </row>
    <row r="45" spans="1:19" s="307" customFormat="1" ht="138" customHeight="1" x14ac:dyDescent="0.25">
      <c r="A45" s="339" t="s">
        <v>371</v>
      </c>
      <c r="B45" s="337" t="s">
        <v>300</v>
      </c>
      <c r="C45" s="342">
        <f>'Подробно разпределение '!P17</f>
        <v>10</v>
      </c>
      <c r="D45" s="342">
        <f>'Подробно разпределение '!AD17</f>
        <v>60</v>
      </c>
      <c r="E45" s="335" t="s">
        <v>372</v>
      </c>
      <c r="F45" s="343" t="s">
        <v>390</v>
      </c>
      <c r="G45" s="337" t="s">
        <v>447</v>
      </c>
      <c r="H45" s="343" t="s">
        <v>437</v>
      </c>
      <c r="I45" s="335" t="s">
        <v>373</v>
      </c>
      <c r="J45" s="231">
        <v>182</v>
      </c>
      <c r="K45" s="268">
        <v>3056968.34</v>
      </c>
      <c r="L45" s="268">
        <v>7242956.54</v>
      </c>
      <c r="M45" s="245"/>
      <c r="N45" s="338"/>
      <c r="O45" s="338"/>
      <c r="P45" s="338"/>
      <c r="Q45" s="338"/>
      <c r="R45" s="338"/>
      <c r="S45" s="338">
        <v>5</v>
      </c>
    </row>
    <row r="46" spans="1:19" s="307" customFormat="1" x14ac:dyDescent="0.25">
      <c r="A46" s="414" t="s">
        <v>291</v>
      </c>
      <c r="B46" s="345" t="s">
        <v>300</v>
      </c>
      <c r="C46" s="346">
        <f>ROUND(C45/6,0)</f>
        <v>2</v>
      </c>
      <c r="D46" s="346">
        <f>ROUND(D45/6,0)</f>
        <v>10</v>
      </c>
      <c r="E46" s="347"/>
      <c r="F46" s="347"/>
      <c r="G46" s="348"/>
      <c r="H46" s="349"/>
      <c r="I46" s="349"/>
      <c r="J46" s="232" t="s">
        <v>291</v>
      </c>
      <c r="K46" s="266">
        <v>423765.14</v>
      </c>
      <c r="L46" s="266">
        <v>1184017.96</v>
      </c>
      <c r="M46" s="246">
        <v>0.7</v>
      </c>
      <c r="N46" s="338"/>
      <c r="O46" s="338"/>
      <c r="P46" s="338"/>
      <c r="Q46" s="338"/>
      <c r="R46" s="338"/>
      <c r="S46" s="338"/>
    </row>
    <row r="47" spans="1:19" s="307" customFormat="1" ht="24" x14ac:dyDescent="0.25">
      <c r="A47" s="414" t="s">
        <v>499</v>
      </c>
      <c r="B47" s="345" t="s">
        <v>300</v>
      </c>
      <c r="C47" s="346">
        <f>C45-C46</f>
        <v>8</v>
      </c>
      <c r="D47" s="346">
        <f>D45-D46</f>
        <v>50</v>
      </c>
      <c r="E47" s="347"/>
      <c r="F47" s="347"/>
      <c r="G47" s="348"/>
      <c r="H47" s="349"/>
      <c r="I47" s="349"/>
      <c r="J47" s="232" t="s">
        <v>289</v>
      </c>
      <c r="K47" s="266">
        <v>2633203.1999999997</v>
      </c>
      <c r="L47" s="266">
        <v>6058938.5800000001</v>
      </c>
      <c r="M47" s="246">
        <v>0.85</v>
      </c>
      <c r="N47" s="338"/>
      <c r="O47" s="338"/>
      <c r="P47" s="338"/>
      <c r="Q47" s="338"/>
      <c r="R47" s="338"/>
      <c r="S47" s="338"/>
    </row>
    <row r="48" spans="1:19" ht="48" x14ac:dyDescent="0.25">
      <c r="A48" s="399" t="s">
        <v>450</v>
      </c>
      <c r="B48" s="238" t="s">
        <v>300</v>
      </c>
      <c r="C48" s="405">
        <f>'Подробно разпределение '!P18</f>
        <v>0</v>
      </c>
      <c r="D48" s="393">
        <f>'Подробно разпределение '!AD18</f>
        <v>0</v>
      </c>
      <c r="E48" s="394"/>
      <c r="F48" s="398"/>
      <c r="G48" s="395"/>
      <c r="H48" s="394"/>
      <c r="I48" s="394"/>
      <c r="J48" s="231">
        <v>181</v>
      </c>
      <c r="K48" s="268">
        <v>5458581.6200000001</v>
      </c>
      <c r="L48" s="268">
        <v>12933162.9</v>
      </c>
      <c r="M48" s="245"/>
      <c r="N48" s="294"/>
      <c r="O48" s="294"/>
      <c r="P48" s="294"/>
      <c r="Q48" s="294"/>
      <c r="R48" s="294"/>
      <c r="S48" s="294">
        <v>10</v>
      </c>
    </row>
    <row r="49" spans="1:19" x14ac:dyDescent="0.25">
      <c r="A49" s="414" t="s">
        <v>291</v>
      </c>
      <c r="B49" s="263" t="s">
        <v>300</v>
      </c>
      <c r="C49" s="260">
        <f>ROUND(C48/6,0)</f>
        <v>0</v>
      </c>
      <c r="D49" s="260">
        <f>ROUND(D48/6,0)</f>
        <v>0</v>
      </c>
      <c r="E49" s="276"/>
      <c r="F49" s="276"/>
      <c r="G49" s="277"/>
      <c r="H49" s="278"/>
      <c r="I49" s="278"/>
      <c r="J49" s="232" t="s">
        <v>291</v>
      </c>
      <c r="K49" s="266">
        <v>756683.21</v>
      </c>
      <c r="L49" s="266">
        <v>2114205.3100000005</v>
      </c>
      <c r="M49" s="246">
        <v>0.7</v>
      </c>
      <c r="N49" s="294"/>
      <c r="O49" s="294"/>
      <c r="P49" s="294"/>
      <c r="Q49" s="294"/>
      <c r="R49" s="294"/>
      <c r="S49" s="294"/>
    </row>
    <row r="50" spans="1:19" ht="24" x14ac:dyDescent="0.25">
      <c r="A50" s="414" t="s">
        <v>499</v>
      </c>
      <c r="B50" s="263" t="s">
        <v>300</v>
      </c>
      <c r="C50" s="260">
        <f>C48-C49</f>
        <v>0</v>
      </c>
      <c r="D50" s="260">
        <f>D48-D49</f>
        <v>0</v>
      </c>
      <c r="E50" s="276"/>
      <c r="F50" s="276"/>
      <c r="G50" s="277"/>
      <c r="H50" s="278"/>
      <c r="I50" s="278"/>
      <c r="J50" s="232" t="s">
        <v>289</v>
      </c>
      <c r="K50" s="266">
        <v>4701898.41</v>
      </c>
      <c r="L50" s="266">
        <v>10818957.59</v>
      </c>
      <c r="M50" s="246">
        <v>0.85</v>
      </c>
      <c r="N50" s="294"/>
      <c r="O50" s="294"/>
      <c r="P50" s="294"/>
      <c r="Q50" s="294"/>
      <c r="R50" s="294"/>
      <c r="S50" s="294"/>
    </row>
    <row r="51" spans="1:19" ht="48" x14ac:dyDescent="0.25">
      <c r="A51" s="399" t="s">
        <v>344</v>
      </c>
      <c r="B51" s="238" t="s">
        <v>300</v>
      </c>
      <c r="C51" s="405">
        <f>'Подробно разпределение '!P19</f>
        <v>0</v>
      </c>
      <c r="D51" s="393">
        <f>'Подробно разпределение '!AD19</f>
        <v>0</v>
      </c>
      <c r="E51" s="394"/>
      <c r="F51" s="398"/>
      <c r="G51" s="395"/>
      <c r="H51" s="394"/>
      <c r="I51" s="394"/>
      <c r="J51" s="231">
        <v>179</v>
      </c>
      <c r="K51" s="268">
        <v>3348277.41</v>
      </c>
      <c r="L51" s="268">
        <v>7933162.9000000004</v>
      </c>
      <c r="M51" s="245"/>
      <c r="N51" s="294"/>
      <c r="O51" s="294"/>
      <c r="P51" s="294"/>
      <c r="Q51" s="294"/>
      <c r="R51" s="294"/>
      <c r="S51" s="294">
        <v>10</v>
      </c>
    </row>
    <row r="52" spans="1:19" x14ac:dyDescent="0.25">
      <c r="A52" s="414" t="s">
        <v>291</v>
      </c>
      <c r="B52" s="263" t="s">
        <v>300</v>
      </c>
      <c r="C52" s="260">
        <f>ROUND(C51/6,0)</f>
        <v>0</v>
      </c>
      <c r="D52" s="260">
        <f>ROUND(D51/6,0)</f>
        <v>0</v>
      </c>
      <c r="E52" s="276"/>
      <c r="F52" s="276"/>
      <c r="G52" s="277"/>
      <c r="H52" s="278"/>
      <c r="I52" s="280"/>
      <c r="J52" s="232" t="s">
        <v>291</v>
      </c>
      <c r="K52" s="266">
        <v>464147.17</v>
      </c>
      <c r="L52" s="266">
        <v>1296847.1200000001</v>
      </c>
      <c r="M52" s="246">
        <v>0.7</v>
      </c>
      <c r="N52" s="294"/>
      <c r="O52" s="294"/>
      <c r="P52" s="294"/>
      <c r="Q52" s="294"/>
      <c r="R52" s="294"/>
      <c r="S52" s="294"/>
    </row>
    <row r="53" spans="1:19" ht="24" x14ac:dyDescent="0.25">
      <c r="A53" s="414" t="s">
        <v>499</v>
      </c>
      <c r="B53" s="263" t="s">
        <v>300</v>
      </c>
      <c r="C53" s="260">
        <f>C51-C52</f>
        <v>0</v>
      </c>
      <c r="D53" s="260">
        <f>D51-D52</f>
        <v>0</v>
      </c>
      <c r="E53" s="276"/>
      <c r="F53" s="276"/>
      <c r="G53" s="277"/>
      <c r="H53" s="278"/>
      <c r="I53" s="280"/>
      <c r="J53" s="232" t="s">
        <v>289</v>
      </c>
      <c r="K53" s="266">
        <v>2884130.24</v>
      </c>
      <c r="L53" s="266">
        <v>6636315.7800000003</v>
      </c>
      <c r="M53" s="246">
        <v>0.85</v>
      </c>
      <c r="N53" s="294"/>
      <c r="O53" s="294"/>
      <c r="P53" s="294"/>
      <c r="Q53" s="294"/>
      <c r="R53" s="294"/>
      <c r="S53" s="294"/>
    </row>
    <row r="54" spans="1:19" s="307" customFormat="1" ht="134.25" customHeight="1" x14ac:dyDescent="0.25">
      <c r="A54" s="339" t="s">
        <v>381</v>
      </c>
      <c r="B54" s="337" t="s">
        <v>300</v>
      </c>
      <c r="C54" s="342">
        <f>'Подробно разпределение '!P20</f>
        <v>0</v>
      </c>
      <c r="D54" s="416">
        <f>'Подробно разпределение '!AD20</f>
        <v>3</v>
      </c>
      <c r="E54" s="335" t="s">
        <v>398</v>
      </c>
      <c r="F54" s="343" t="s">
        <v>408</v>
      </c>
      <c r="G54" s="337" t="s">
        <v>448</v>
      </c>
      <c r="H54" s="350" t="s">
        <v>397</v>
      </c>
      <c r="I54" s="335" t="s">
        <v>392</v>
      </c>
      <c r="J54" s="231">
        <v>181</v>
      </c>
      <c r="K54" s="217">
        <v>759709.52</v>
      </c>
      <c r="L54" s="217">
        <v>1800000</v>
      </c>
      <c r="M54" s="245"/>
      <c r="N54" s="338"/>
      <c r="O54" s="338"/>
      <c r="P54" s="338"/>
      <c r="Q54" s="338"/>
      <c r="R54" s="338"/>
      <c r="S54" s="338"/>
    </row>
    <row r="55" spans="1:19" x14ac:dyDescent="0.25">
      <c r="A55" s="414" t="s">
        <v>291</v>
      </c>
      <c r="B55" s="263" t="s">
        <v>300</v>
      </c>
      <c r="C55" s="260">
        <f>ROUND(C54/6,0)</f>
        <v>0</v>
      </c>
      <c r="D55" s="261">
        <f>ROUND(D54/6,2)</f>
        <v>0.5</v>
      </c>
      <c r="E55" s="276"/>
      <c r="F55" s="276"/>
      <c r="G55" s="277"/>
      <c r="H55" s="278"/>
      <c r="I55" s="280"/>
      <c r="J55" s="232" t="s">
        <v>291</v>
      </c>
      <c r="K55" s="266">
        <v>105312.96000000001</v>
      </c>
      <c r="L55" s="266">
        <v>294248.94999999995</v>
      </c>
      <c r="M55" s="246">
        <v>0.7</v>
      </c>
      <c r="N55" s="294"/>
      <c r="O55" s="294"/>
      <c r="P55" s="294"/>
      <c r="Q55" s="294"/>
      <c r="R55" s="294"/>
      <c r="S55" s="294"/>
    </row>
    <row r="56" spans="1:19" ht="24" x14ac:dyDescent="0.25">
      <c r="A56" s="414" t="s">
        <v>499</v>
      </c>
      <c r="B56" s="263" t="s">
        <v>300</v>
      </c>
      <c r="C56" s="260">
        <f>C54-C55</f>
        <v>0</v>
      </c>
      <c r="D56" s="261">
        <f>D54-D55</f>
        <v>2.5</v>
      </c>
      <c r="E56" s="276"/>
      <c r="F56" s="276"/>
      <c r="G56" s="277"/>
      <c r="H56" s="278"/>
      <c r="I56" s="280"/>
      <c r="J56" s="232" t="s">
        <v>289</v>
      </c>
      <c r="K56" s="266">
        <v>654396.56000000006</v>
      </c>
      <c r="L56" s="266">
        <v>1505751.05</v>
      </c>
      <c r="M56" s="246">
        <v>0.85</v>
      </c>
      <c r="N56" s="294"/>
      <c r="O56" s="294"/>
      <c r="P56" s="294"/>
      <c r="Q56" s="294"/>
      <c r="R56" s="294"/>
      <c r="S56" s="294"/>
    </row>
    <row r="57" spans="1:19" s="351" customFormat="1" ht="408" x14ac:dyDescent="0.25">
      <c r="A57" s="332" t="s">
        <v>438</v>
      </c>
      <c r="B57" s="333" t="s">
        <v>300</v>
      </c>
      <c r="C57" s="342">
        <f>'Подробно разпределение '!P21</f>
        <v>334</v>
      </c>
      <c r="D57" s="342">
        <f>'Подробно разпределение '!AD21</f>
        <v>2348</v>
      </c>
      <c r="E57" s="335" t="s">
        <v>439</v>
      </c>
      <c r="F57" s="335" t="s">
        <v>405</v>
      </c>
      <c r="G57" s="337" t="s">
        <v>449</v>
      </c>
      <c r="H57" s="335" t="s">
        <v>446</v>
      </c>
      <c r="I57" s="335" t="s">
        <v>354</v>
      </c>
      <c r="J57" s="231">
        <v>179</v>
      </c>
      <c r="K57" s="217">
        <v>4720311.67</v>
      </c>
      <c r="L57" s="217">
        <v>11183960.23</v>
      </c>
      <c r="M57" s="245"/>
      <c r="N57" s="338">
        <v>5</v>
      </c>
      <c r="O57" s="338"/>
      <c r="P57" s="338"/>
      <c r="Q57" s="338"/>
      <c r="R57" s="338"/>
      <c r="S57" s="338">
        <v>1.25</v>
      </c>
    </row>
    <row r="58" spans="1:19" s="310" customFormat="1" x14ac:dyDescent="0.25">
      <c r="A58" s="275"/>
      <c r="B58" s="263" t="s">
        <v>300</v>
      </c>
      <c r="C58" s="260">
        <f>ROUND(4*C57/27,0)</f>
        <v>49</v>
      </c>
      <c r="D58" s="260">
        <f>ROUND(4*D57/27,0)</f>
        <v>348</v>
      </c>
      <c r="E58" s="276"/>
      <c r="F58" s="276"/>
      <c r="G58" s="277"/>
      <c r="H58" s="278"/>
      <c r="I58" s="278"/>
      <c r="J58" s="314" t="s">
        <v>291</v>
      </c>
      <c r="K58" s="315">
        <v>654342.24</v>
      </c>
      <c r="L58" s="315">
        <v>1828260.2800000012</v>
      </c>
      <c r="M58" s="316">
        <v>0.7</v>
      </c>
      <c r="N58" s="408"/>
      <c r="O58" s="317"/>
      <c r="P58" s="317"/>
      <c r="Q58" s="317"/>
      <c r="R58" s="317"/>
      <c r="S58" s="317"/>
    </row>
    <row r="59" spans="1:19" s="310" customFormat="1" ht="24" customHeight="1" x14ac:dyDescent="0.25">
      <c r="A59" s="275"/>
      <c r="B59" s="263" t="s">
        <v>300</v>
      </c>
      <c r="C59" s="260">
        <f>C57-C58</f>
        <v>285</v>
      </c>
      <c r="D59" s="260">
        <f>D57-D58</f>
        <v>2000</v>
      </c>
      <c r="E59" s="276"/>
      <c r="F59" s="276"/>
      <c r="G59" s="277"/>
      <c r="H59" s="278"/>
      <c r="I59" s="278"/>
      <c r="J59" s="314" t="s">
        <v>289</v>
      </c>
      <c r="K59" s="315">
        <v>4065969.4299999997</v>
      </c>
      <c r="L59" s="315">
        <v>9355699.9499999993</v>
      </c>
      <c r="M59" s="316">
        <v>0.85</v>
      </c>
      <c r="N59" s="408"/>
      <c r="O59" s="317"/>
      <c r="P59" s="317"/>
      <c r="Q59" s="317"/>
      <c r="R59" s="317"/>
      <c r="S59" s="317"/>
    </row>
    <row r="60" spans="1:19" ht="120" x14ac:dyDescent="0.25">
      <c r="A60" s="332" t="s">
        <v>345</v>
      </c>
      <c r="B60" s="333" t="s">
        <v>300</v>
      </c>
      <c r="C60" s="342">
        <f>'Подробно разпределение '!P23</f>
        <v>2160000</v>
      </c>
      <c r="D60" s="417">
        <f>'Подробно разпределение '!AD23</f>
        <v>0</v>
      </c>
      <c r="E60" s="335" t="s">
        <v>355</v>
      </c>
      <c r="F60" s="335" t="s">
        <v>391</v>
      </c>
      <c r="G60" s="337" t="s">
        <v>449</v>
      </c>
      <c r="H60" s="335" t="s">
        <v>359</v>
      </c>
      <c r="I60" s="335" t="s">
        <v>356</v>
      </c>
      <c r="J60" s="231">
        <v>179</v>
      </c>
      <c r="K60" s="418">
        <f>ROUND(4198693.72/6,2)</f>
        <v>699782.29</v>
      </c>
      <c r="L60" s="418">
        <f>ROUND(9948076.89/6,2)</f>
        <v>1658012.82</v>
      </c>
      <c r="M60" s="245"/>
      <c r="N60" s="294"/>
      <c r="O60" s="294"/>
      <c r="P60" s="294"/>
      <c r="Q60" s="294"/>
      <c r="R60" s="294"/>
      <c r="S60" s="294"/>
    </row>
    <row r="61" spans="1:19" x14ac:dyDescent="0.25">
      <c r="A61" s="414" t="s">
        <v>291</v>
      </c>
      <c r="B61" s="263" t="s">
        <v>300</v>
      </c>
      <c r="C61" s="260">
        <f>ROUND(4*C60/27,0)</f>
        <v>320000</v>
      </c>
      <c r="D61" s="260">
        <f>ROUND(4*D60/27,0)</f>
        <v>0</v>
      </c>
      <c r="E61" s="276"/>
      <c r="F61" s="276"/>
      <c r="G61" s="277"/>
      <c r="H61" s="278"/>
      <c r="I61" s="278"/>
      <c r="J61" s="231" t="s">
        <v>291</v>
      </c>
      <c r="K61" s="267">
        <v>97005.694361476257</v>
      </c>
      <c r="L61" s="267">
        <v>271038.07</v>
      </c>
      <c r="M61" s="246">
        <v>0.7</v>
      </c>
      <c r="N61" s="294"/>
      <c r="O61" s="294"/>
      <c r="P61" s="294"/>
      <c r="Q61" s="294"/>
      <c r="R61" s="294"/>
      <c r="S61" s="294"/>
    </row>
    <row r="62" spans="1:19" ht="24" x14ac:dyDescent="0.25">
      <c r="A62" s="414" t="s">
        <v>499</v>
      </c>
      <c r="B62" s="263" t="s">
        <v>300</v>
      </c>
      <c r="C62" s="260">
        <f>C60-C61</f>
        <v>1840000</v>
      </c>
      <c r="D62" s="260">
        <v>1840000</v>
      </c>
      <c r="E62" s="276"/>
      <c r="F62" s="276"/>
      <c r="G62" s="277"/>
      <c r="H62" s="278"/>
      <c r="I62" s="278"/>
      <c r="J62" s="231" t="s">
        <v>289</v>
      </c>
      <c r="K62" s="267">
        <v>602776.59563852369</v>
      </c>
      <c r="L62" s="267">
        <v>1386974.75</v>
      </c>
      <c r="M62" s="246">
        <v>0.85</v>
      </c>
      <c r="N62" s="294"/>
      <c r="O62" s="294"/>
      <c r="P62" s="294"/>
      <c r="Q62" s="294"/>
      <c r="R62" s="294"/>
      <c r="S62" s="294"/>
    </row>
    <row r="63" spans="1:19" ht="108" customHeight="1" x14ac:dyDescent="0.25">
      <c r="A63" s="281" t="s">
        <v>369</v>
      </c>
      <c r="B63" s="282" t="s">
        <v>296</v>
      </c>
      <c r="C63" s="417">
        <f>'Подробно разпределение '!P24</f>
        <v>62</v>
      </c>
      <c r="D63" s="417">
        <f>'Подробно разпределение '!AD24</f>
        <v>62</v>
      </c>
      <c r="E63" s="254" t="s">
        <v>380</v>
      </c>
      <c r="F63" s="255" t="s">
        <v>357</v>
      </c>
      <c r="G63" s="337" t="s">
        <v>449</v>
      </c>
      <c r="H63" s="254" t="s">
        <v>358</v>
      </c>
      <c r="I63" s="254" t="s">
        <v>440</v>
      </c>
      <c r="J63" s="231">
        <v>179</v>
      </c>
      <c r="K63" s="269">
        <v>4198692.88</v>
      </c>
      <c r="L63" s="269">
        <v>9948076.8900000006</v>
      </c>
      <c r="M63" s="256"/>
      <c r="N63" s="294">
        <v>5</v>
      </c>
      <c r="O63" s="294"/>
      <c r="P63" s="294"/>
      <c r="Q63" s="294"/>
      <c r="R63" s="294"/>
      <c r="S63" s="294">
        <v>1.25</v>
      </c>
    </row>
    <row r="64" spans="1:19" x14ac:dyDescent="0.25">
      <c r="A64" s="414" t="s">
        <v>291</v>
      </c>
      <c r="B64" s="264" t="s">
        <v>296</v>
      </c>
      <c r="C64" s="262">
        <f>C63</f>
        <v>62</v>
      </c>
      <c r="D64" s="262">
        <f>D63</f>
        <v>62</v>
      </c>
      <c r="E64" s="284"/>
      <c r="F64" s="284"/>
      <c r="G64" s="285"/>
      <c r="H64" s="283"/>
      <c r="I64" s="283"/>
      <c r="J64" s="257" t="s">
        <v>291</v>
      </c>
      <c r="K64" s="270">
        <v>582034.16</v>
      </c>
      <c r="L64" s="270">
        <v>1626228.4100000001</v>
      </c>
      <c r="M64" s="258">
        <v>0.7</v>
      </c>
      <c r="N64" s="294"/>
      <c r="O64" s="294"/>
      <c r="P64" s="294"/>
      <c r="Q64" s="294"/>
      <c r="R64" s="294"/>
      <c r="S64" s="294"/>
    </row>
    <row r="65" spans="1:19" ht="16.5" customHeight="1" x14ac:dyDescent="0.25">
      <c r="A65" s="414" t="s">
        <v>499</v>
      </c>
      <c r="B65" s="264" t="s">
        <v>296</v>
      </c>
      <c r="C65" s="262">
        <f>C63</f>
        <v>62</v>
      </c>
      <c r="D65" s="262">
        <f>D63</f>
        <v>62</v>
      </c>
      <c r="E65" s="284"/>
      <c r="F65" s="284"/>
      <c r="G65" s="285"/>
      <c r="H65" s="283"/>
      <c r="I65" s="283"/>
      <c r="J65" s="257" t="s">
        <v>289</v>
      </c>
      <c r="K65" s="270">
        <v>3616658.72</v>
      </c>
      <c r="L65" s="270">
        <v>8321848.4800000004</v>
      </c>
      <c r="M65" s="258">
        <v>0.85</v>
      </c>
      <c r="N65" s="295"/>
      <c r="O65" s="295"/>
      <c r="P65" s="295"/>
      <c r="Q65" s="295"/>
      <c r="R65" s="295"/>
      <c r="S65" s="295"/>
    </row>
    <row r="66" spans="1:19" ht="108" customHeight="1" x14ac:dyDescent="0.25">
      <c r="A66" s="281" t="s">
        <v>497</v>
      </c>
      <c r="B66" s="282" t="s">
        <v>300</v>
      </c>
      <c r="C66" s="417">
        <f>'Подробно разпределение '!P25</f>
        <v>0</v>
      </c>
      <c r="D66" s="404">
        <f>'Подробно разпределение '!AD25</f>
        <v>2400000</v>
      </c>
      <c r="E66" s="254" t="s">
        <v>500</v>
      </c>
      <c r="F66" s="255" t="s">
        <v>496</v>
      </c>
      <c r="G66" s="240" t="s">
        <v>449</v>
      </c>
      <c r="H66" s="254" t="s">
        <v>394</v>
      </c>
      <c r="I66" s="254" t="s">
        <v>354</v>
      </c>
      <c r="J66" s="231">
        <v>179</v>
      </c>
      <c r="K66" s="269">
        <v>4198693.72</v>
      </c>
      <c r="L66" s="269">
        <v>9948076.8900000006</v>
      </c>
      <c r="M66" s="256"/>
      <c r="N66" s="294">
        <v>5</v>
      </c>
      <c r="O66" s="294"/>
      <c r="P66" s="294"/>
      <c r="Q66" s="294"/>
      <c r="R66" s="294"/>
      <c r="S66" s="294">
        <v>1.25</v>
      </c>
    </row>
    <row r="67" spans="1:19" x14ac:dyDescent="0.25">
      <c r="A67" s="414" t="s">
        <v>291</v>
      </c>
      <c r="B67" s="263" t="s">
        <v>300</v>
      </c>
      <c r="C67" s="415">
        <v>0</v>
      </c>
      <c r="D67" s="262">
        <f>ROUND(D66/6,2)</f>
        <v>400000</v>
      </c>
      <c r="E67" s="284"/>
      <c r="F67" s="284"/>
      <c r="G67" s="285"/>
      <c r="H67" s="283"/>
      <c r="I67" s="283"/>
      <c r="J67" s="257" t="s">
        <v>291</v>
      </c>
      <c r="K67" s="270">
        <v>582034.16</v>
      </c>
      <c r="L67" s="270">
        <v>1626228.4100000001</v>
      </c>
      <c r="M67" s="258">
        <v>0.7</v>
      </c>
      <c r="N67" s="294"/>
      <c r="O67" s="294"/>
      <c r="P67" s="294"/>
      <c r="Q67" s="294"/>
      <c r="R67" s="294"/>
      <c r="S67" s="294"/>
    </row>
    <row r="68" spans="1:19" ht="16.5" customHeight="1" x14ac:dyDescent="0.25">
      <c r="A68" s="414" t="s">
        <v>499</v>
      </c>
      <c r="B68" s="263" t="s">
        <v>300</v>
      </c>
      <c r="C68" s="415">
        <v>0</v>
      </c>
      <c r="D68" s="262">
        <f>D66-D67</f>
        <v>2000000</v>
      </c>
      <c r="E68" s="284"/>
      <c r="F68" s="284"/>
      <c r="G68" s="285"/>
      <c r="H68" s="283"/>
      <c r="I68" s="283"/>
      <c r="J68" s="257" t="s">
        <v>289</v>
      </c>
      <c r="K68" s="270">
        <v>3616659.5599999996</v>
      </c>
      <c r="L68" s="270">
        <v>8321848.4800000004</v>
      </c>
      <c r="M68" s="258">
        <v>0.85</v>
      </c>
      <c r="N68" s="295"/>
      <c r="O68" s="295"/>
      <c r="P68" s="295"/>
      <c r="Q68" s="295"/>
      <c r="R68" s="295"/>
      <c r="S68" s="295"/>
    </row>
    <row r="69" spans="1:19" ht="144.75" customHeight="1" x14ac:dyDescent="0.25">
      <c r="A69" s="281" t="s">
        <v>498</v>
      </c>
      <c r="B69" s="282" t="s">
        <v>300</v>
      </c>
      <c r="C69" s="417">
        <f>'Подробно разпределение '!P32</f>
        <v>0</v>
      </c>
      <c r="D69" s="404">
        <f>'Подробно разпределение '!AD26</f>
        <v>6912000</v>
      </c>
      <c r="E69" s="254" t="s">
        <v>495</v>
      </c>
      <c r="F69" s="255" t="s">
        <v>391</v>
      </c>
      <c r="G69" s="240" t="s">
        <v>449</v>
      </c>
      <c r="H69" s="254" t="s">
        <v>493</v>
      </c>
      <c r="I69" s="254" t="s">
        <v>494</v>
      </c>
      <c r="J69" s="231">
        <v>179</v>
      </c>
      <c r="K69" s="419">
        <f>4198693.72-K60</f>
        <v>3498911.4299999997</v>
      </c>
      <c r="L69" s="419">
        <f>9948076.89-L60</f>
        <v>8290064.0700000003</v>
      </c>
      <c r="M69" s="256"/>
      <c r="N69" s="294">
        <v>5</v>
      </c>
      <c r="O69" s="294"/>
      <c r="P69" s="294"/>
      <c r="Q69" s="294"/>
      <c r="R69" s="294"/>
      <c r="S69" s="294">
        <v>1.25</v>
      </c>
    </row>
    <row r="70" spans="1:19" x14ac:dyDescent="0.25">
      <c r="A70" s="414" t="s">
        <v>291</v>
      </c>
      <c r="B70" s="263" t="s">
        <v>300</v>
      </c>
      <c r="C70" s="262">
        <f>ROUND(C69/6,2)</f>
        <v>0</v>
      </c>
      <c r="D70" s="262">
        <f>ROUND(D69/6,2)</f>
        <v>1152000</v>
      </c>
      <c r="E70" s="284"/>
      <c r="F70" s="284"/>
      <c r="G70" s="285"/>
      <c r="H70" s="283"/>
      <c r="I70" s="283"/>
      <c r="J70" s="257" t="s">
        <v>291</v>
      </c>
      <c r="K70" s="270">
        <v>485028.46903492766</v>
      </c>
      <c r="L70" s="270">
        <v>1355190.33</v>
      </c>
      <c r="M70" s="258">
        <v>0.7</v>
      </c>
      <c r="N70" s="294"/>
      <c r="O70" s="294"/>
      <c r="P70" s="294"/>
      <c r="Q70" s="294"/>
      <c r="R70" s="294"/>
      <c r="S70" s="294"/>
    </row>
    <row r="71" spans="1:19" ht="16.5" customHeight="1" x14ac:dyDescent="0.25">
      <c r="A71" s="414" t="s">
        <v>499</v>
      </c>
      <c r="B71" s="263" t="s">
        <v>300</v>
      </c>
      <c r="C71" s="262">
        <f>C69-C70</f>
        <v>0</v>
      </c>
      <c r="D71" s="262">
        <f>D69-D70</f>
        <v>5760000</v>
      </c>
      <c r="E71" s="284"/>
      <c r="F71" s="284"/>
      <c r="G71" s="285"/>
      <c r="H71" s="283"/>
      <c r="I71" s="283"/>
      <c r="J71" s="257" t="s">
        <v>289</v>
      </c>
      <c r="K71" s="270">
        <v>3013882.9609650718</v>
      </c>
      <c r="L71" s="270">
        <v>6934873.7400000002</v>
      </c>
      <c r="M71" s="258">
        <v>0.85</v>
      </c>
      <c r="N71" s="295"/>
      <c r="O71" s="295"/>
      <c r="P71" s="295"/>
      <c r="Q71" s="295"/>
      <c r="R71" s="295"/>
      <c r="S71" s="295"/>
    </row>
    <row r="72" spans="1:19" x14ac:dyDescent="0.2">
      <c r="N72" s="352">
        <f>SUM(N3:N69)</f>
        <v>100</v>
      </c>
      <c r="O72" s="352">
        <f>SUM(O3:O65)</f>
        <v>100</v>
      </c>
      <c r="P72" s="352">
        <f>SUM(P3:P65)</f>
        <v>100</v>
      </c>
      <c r="Q72" s="352">
        <f>SUM(Q3:Q65)</f>
        <v>100</v>
      </c>
      <c r="R72" s="352">
        <f>SUM(R3:R65)</f>
        <v>100</v>
      </c>
      <c r="S72" s="352">
        <f>SUM(S3:S71)</f>
        <v>100</v>
      </c>
    </row>
    <row r="73" spans="1:19" x14ac:dyDescent="0.2">
      <c r="A73" s="311"/>
      <c r="B73" s="311"/>
      <c r="C73" s="320"/>
      <c r="D73" s="320"/>
      <c r="E73" s="311"/>
      <c r="F73" s="321"/>
      <c r="G73" s="322"/>
      <c r="H73" s="311"/>
      <c r="I73" s="311"/>
      <c r="K73" s="259">
        <f t="shared" ref="K73:L75" si="0">+K3+K6+K9+K12+K15+K18+K21+K24+K27+K30+K33+K36+K39+K42+K45+K48+K51+K54+K57+K60+K63+K66+K69</f>
        <v>100279500</v>
      </c>
      <c r="L73" s="259">
        <f t="shared" si="0"/>
        <v>237594893.37999994</v>
      </c>
    </row>
    <row r="74" spans="1:19" x14ac:dyDescent="0.2">
      <c r="A74" s="311"/>
      <c r="B74" s="311"/>
      <c r="C74" s="320"/>
      <c r="D74" s="320"/>
      <c r="E74" s="311"/>
      <c r="F74" s="321"/>
      <c r="G74" s="322"/>
      <c r="H74" s="311"/>
      <c r="I74" s="311"/>
      <c r="K74" s="259">
        <f t="shared" si="0"/>
        <v>13901013.003396407</v>
      </c>
      <c r="L74" s="259">
        <f t="shared" si="0"/>
        <v>38840026.079999998</v>
      </c>
      <c r="M74" s="409"/>
    </row>
    <row r="75" spans="1:19" x14ac:dyDescent="0.2">
      <c r="A75" s="311"/>
      <c r="B75" s="311"/>
      <c r="C75" s="320"/>
      <c r="D75" s="320"/>
      <c r="E75" s="311"/>
      <c r="F75" s="321"/>
      <c r="G75" s="322"/>
      <c r="H75" s="311"/>
      <c r="I75" s="311"/>
      <c r="J75" s="409"/>
      <c r="K75" s="259">
        <f t="shared" si="0"/>
        <v>86378486.996603593</v>
      </c>
      <c r="L75" s="259">
        <f t="shared" si="0"/>
        <v>198754867.30000001</v>
      </c>
      <c r="M75" s="409"/>
    </row>
    <row r="76" spans="1:19" x14ac:dyDescent="0.2">
      <c r="A76" s="311"/>
      <c r="B76" s="311"/>
      <c r="C76" s="320"/>
      <c r="D76" s="320"/>
      <c r="E76" s="311"/>
      <c r="F76" s="321"/>
      <c r="G76" s="322"/>
      <c r="H76" s="311"/>
      <c r="I76" s="311"/>
    </row>
    <row r="77" spans="1:19" x14ac:dyDescent="0.2">
      <c r="A77" s="311"/>
      <c r="B77" s="311"/>
      <c r="C77" s="320"/>
      <c r="D77" s="320"/>
      <c r="E77" s="311"/>
      <c r="F77" s="321"/>
      <c r="G77" s="322"/>
      <c r="H77" s="311"/>
      <c r="I77" s="311"/>
    </row>
    <row r="78" spans="1:19" x14ac:dyDescent="0.2">
      <c r="A78" s="311"/>
      <c r="B78" s="311"/>
      <c r="C78" s="320"/>
      <c r="D78" s="320"/>
      <c r="E78" s="311"/>
      <c r="F78" s="321"/>
      <c r="G78" s="322"/>
      <c r="H78" s="311"/>
      <c r="I78" s="311"/>
    </row>
    <row r="79" spans="1:19" x14ac:dyDescent="0.2">
      <c r="A79" s="311"/>
      <c r="B79" s="311"/>
      <c r="C79" s="320"/>
      <c r="D79" s="320"/>
      <c r="E79" s="311"/>
      <c r="F79" s="321"/>
      <c r="G79" s="322"/>
      <c r="H79" s="311"/>
      <c r="I79" s="311"/>
      <c r="J79" s="372">
        <v>179</v>
      </c>
      <c r="K79" s="372">
        <f t="shared" ref="K79:L81" si="1">+K51+K57+K60+K63+K66+K69</f>
        <v>20664669.399999999</v>
      </c>
      <c r="L79" s="372">
        <f t="shared" si="1"/>
        <v>48961353.800000004</v>
      </c>
      <c r="N79" s="248"/>
    </row>
    <row r="80" spans="1:19" x14ac:dyDescent="0.2">
      <c r="A80" s="311"/>
      <c r="B80" s="311"/>
      <c r="C80" s="320"/>
      <c r="D80" s="320"/>
      <c r="E80" s="311"/>
      <c r="F80" s="321"/>
      <c r="G80" s="322"/>
      <c r="H80" s="311"/>
      <c r="I80" s="311"/>
      <c r="J80" s="257" t="s">
        <v>291</v>
      </c>
      <c r="K80" s="412">
        <f t="shared" si="1"/>
        <v>2864591.8933964036</v>
      </c>
      <c r="L80" s="412">
        <f t="shared" si="1"/>
        <v>8003792.620000001</v>
      </c>
    </row>
    <row r="81" spans="1:14" ht="24" x14ac:dyDescent="0.2">
      <c r="A81" s="311"/>
      <c r="B81" s="311"/>
      <c r="C81" s="320"/>
      <c r="D81" s="320"/>
      <c r="E81" s="311"/>
      <c r="F81" s="321"/>
      <c r="G81" s="322"/>
      <c r="H81" s="311"/>
      <c r="I81" s="311"/>
      <c r="J81" s="257" t="s">
        <v>289</v>
      </c>
      <c r="K81" s="412">
        <f t="shared" si="1"/>
        <v>17800077.506603595</v>
      </c>
      <c r="L81" s="412">
        <f t="shared" si="1"/>
        <v>40957561.18</v>
      </c>
    </row>
    <row r="82" spans="1:14" x14ac:dyDescent="0.2">
      <c r="A82" s="311"/>
      <c r="B82" s="311"/>
      <c r="C82" s="320"/>
      <c r="D82" s="320"/>
      <c r="E82" s="311"/>
      <c r="F82" s="321"/>
      <c r="G82" s="322"/>
      <c r="H82" s="311"/>
      <c r="I82" s="311"/>
      <c r="J82" s="372">
        <v>180</v>
      </c>
      <c r="K82" s="372">
        <f>+K9+K12+K15+K18+K21+K24+K27+K30</f>
        <v>47060085.009999998</v>
      </c>
      <c r="L82" s="372">
        <f>+L9+L12+L15+L18+L21+L24+L27+L30</f>
        <v>111500713.39</v>
      </c>
      <c r="N82" s="248"/>
    </row>
    <row r="83" spans="1:14" x14ac:dyDescent="0.2">
      <c r="A83" s="311"/>
      <c r="B83" s="311"/>
      <c r="C83" s="320"/>
      <c r="D83" s="320"/>
      <c r="E83" s="311"/>
      <c r="F83" s="321"/>
      <c r="G83" s="322"/>
      <c r="H83" s="311"/>
      <c r="I83" s="311"/>
      <c r="J83" s="257" t="s">
        <v>291</v>
      </c>
      <c r="K83" s="412">
        <f t="shared" ref="K83:L83" si="2">+K10+K13+K16+K19+K22+K25+K28+K31</f>
        <v>6523595.0800000001</v>
      </c>
      <c r="L83" s="412">
        <f t="shared" si="2"/>
        <v>18227204.100000001</v>
      </c>
    </row>
    <row r="84" spans="1:14" ht="24" x14ac:dyDescent="0.2">
      <c r="A84" s="311"/>
      <c r="B84" s="311"/>
      <c r="C84" s="320"/>
      <c r="D84" s="320"/>
      <c r="E84" s="311"/>
      <c r="F84" s="321"/>
      <c r="G84" s="322"/>
      <c r="H84" s="311"/>
      <c r="I84" s="311"/>
      <c r="J84" s="257" t="s">
        <v>289</v>
      </c>
      <c r="K84" s="412">
        <f t="shared" ref="K84:L84" si="3">+K11+K14+K17+K20+K23+K26+K29+K32</f>
        <v>40536489.929999992</v>
      </c>
      <c r="L84" s="412">
        <f t="shared" si="3"/>
        <v>93273509.290000007</v>
      </c>
    </row>
    <row r="85" spans="1:14" x14ac:dyDescent="0.2">
      <c r="J85" s="372">
        <v>181</v>
      </c>
      <c r="K85" s="372">
        <f>+K3+K6+K48+K54</f>
        <v>11530293.919999998</v>
      </c>
      <c r="L85" s="372">
        <f>+L3+L6+L48+L54</f>
        <v>27319032.590000004</v>
      </c>
      <c r="N85" s="248"/>
    </row>
    <row r="86" spans="1:14" x14ac:dyDescent="0.2">
      <c r="J86" s="257" t="s">
        <v>291</v>
      </c>
      <c r="K86" s="412">
        <f t="shared" ref="K86:L86" si="4">+K4+K7+K49+K55</f>
        <v>1598360.22</v>
      </c>
      <c r="L86" s="412">
        <f t="shared" si="4"/>
        <v>4465886.9800000014</v>
      </c>
    </row>
    <row r="87" spans="1:14" ht="24" x14ac:dyDescent="0.2">
      <c r="J87" s="257" t="s">
        <v>289</v>
      </c>
      <c r="K87" s="412">
        <f t="shared" ref="K87:L87" si="5">+K5+K8+K50+K56</f>
        <v>9931933.7000000011</v>
      </c>
      <c r="L87" s="412">
        <f t="shared" si="5"/>
        <v>22853145.609999999</v>
      </c>
    </row>
    <row r="88" spans="1:14" x14ac:dyDescent="0.2">
      <c r="J88" s="372">
        <v>182</v>
      </c>
      <c r="K88" s="372">
        <f>+K33+K36+K39+K42+K45</f>
        <v>21024451.670000002</v>
      </c>
      <c r="L88" s="372">
        <f>+L33+L36+L39+L42+L45</f>
        <v>49813793.600000001</v>
      </c>
      <c r="N88" s="248"/>
    </row>
    <row r="89" spans="1:14" x14ac:dyDescent="0.2">
      <c r="J89" s="257" t="s">
        <v>291</v>
      </c>
      <c r="K89" s="412">
        <f t="shared" ref="K89:L89" si="6">+K34+K37+K40+K43+K46</f>
        <v>2914465.81</v>
      </c>
      <c r="L89" s="412">
        <f t="shared" si="6"/>
        <v>8143142.3800000008</v>
      </c>
    </row>
    <row r="90" spans="1:14" ht="24" x14ac:dyDescent="0.2">
      <c r="J90" s="257" t="s">
        <v>289</v>
      </c>
      <c r="K90" s="412">
        <f t="shared" ref="K90:L90" si="7">+K35+K38+K41+K44+K47</f>
        <v>18109985.860000003</v>
      </c>
      <c r="L90" s="412">
        <f t="shared" si="7"/>
        <v>41670651.219999999</v>
      </c>
    </row>
    <row r="91" spans="1:14" x14ac:dyDescent="0.2">
      <c r="K91" s="413">
        <f>+K79+K82+K85+K88</f>
        <v>100279500</v>
      </c>
      <c r="L91" s="413">
        <f>+L79+L82+L85+L88</f>
        <v>237594893.38</v>
      </c>
    </row>
  </sheetData>
  <autoFilter ref="A1:M73"/>
  <customSheetViews>
    <customSheetView guid="{6BEE494D-3BDB-46C2-9750-A57C1F94B9B8}" scale="120" fitToPage="1" showAutoFilter="1" topLeftCell="D1">
      <pane xSplit="2.8761552680221811" ySplit="1" topLeftCell="I69" activePane="bottomRight"/>
      <selection pane="bottomRight" activeCell="L89" sqref="L89"/>
      <pageMargins left="0.25" right="0.25" top="0.75" bottom="0.75" header="0.3" footer="0.3"/>
      <pageSetup paperSize="9" scale="33" fitToHeight="0" orientation="landscape" r:id="rId1"/>
      <autoFilter ref="A1:M70"/>
    </customSheetView>
    <customSheetView guid="{B426F9F8-EB1A-4D7B-9478-7E22D414CC12}" scale="120" showPageBreaks="1" fitToPage="1" printArea="1" showAutoFilter="1">
      <pane xSplit="1" ySplit="1" topLeftCell="B2" activePane="bottomRight" state="frozen"/>
      <selection pane="bottomRight" activeCell="H5" sqref="H5"/>
      <pageMargins left="0.25" right="0.25" top="0.75" bottom="0.75" header="0.3" footer="0.3"/>
      <pageSetup paperSize="9" fitToHeight="0" orientation="landscape" r:id="rId2"/>
      <autoFilter ref="A1:M70"/>
    </customSheetView>
    <customSheetView guid="{13EBDE9D-EC74-4522-9EED-363E735B4A78}" scale="120" showPageBreaks="1" fitToPage="1" printArea="1" showAutoFilter="1" topLeftCell="A49">
      <pane xSplit="4.5205047318611991" ySplit="8.0061255742725876" topLeftCell="A113"/>
      <selection activeCell="E60" sqref="E60"/>
      <pageMargins left="0.25" right="0.25" top="0.75" bottom="0.75" header="0.3" footer="0.3"/>
      <pageSetup paperSize="9" scale="33" fitToHeight="0" orientation="landscape" r:id="rId3"/>
      <autoFilter ref="A1:M70"/>
    </customSheetView>
    <customSheetView guid="{F67C426D-26F1-4B15-961D-40AFD17A9EE3}" scale="115" showPageBreaks="1" printArea="1" showAutoFilter="1">
      <pane xSplit="4" ySplit="1" topLeftCell="F23" activePane="bottomRight" state="frozen"/>
      <selection pane="bottomRight" activeCell="F27" sqref="F27"/>
      <pageMargins left="0.23622047244094491" right="0.23622047244094491" top="0.74803149606299213" bottom="0.74803149606299213" header="0.31496062992125984" footer="0.31496062992125984"/>
      <pageSetup paperSize="8" fitToHeight="0" orientation="landscape" r:id="rId4"/>
      <autoFilter ref="A1:M70"/>
    </customSheetView>
    <customSheetView guid="{B777B674-73ED-4225-A0AA-917FDFF5A819}" scale="85" showAutoFilter="1">
      <pane xSplit="4" ySplit="1" topLeftCell="E37" activePane="bottomRight" state="frozen"/>
      <selection pane="bottomRight" activeCell="N39" sqref="N39"/>
      <pageMargins left="0.23622047244094491" right="0.23622047244094491" top="0.74803149606299213" bottom="0.74803149606299213" header="0.31496062992125984" footer="0.31496062992125984"/>
      <pageSetup paperSize="8" fitToHeight="0" orientation="landscape" r:id="rId5"/>
      <autoFilter ref="A1:M70"/>
    </customSheetView>
    <customSheetView guid="{DE1004AE-EE6B-445B-9B87-77176E699CEC}" showAutoFilter="1">
      <pane xSplit="4" ySplit="1" topLeftCell="E35" activePane="bottomRight" state="frozen"/>
      <selection pane="bottomRight" activeCell="A36" sqref="A36:XFD36"/>
      <pageMargins left="0.23622047244094491" right="0.23622047244094491" top="0.74803149606299213" bottom="0.74803149606299213" header="0.31496062992125984" footer="0.31496062992125984"/>
      <pageSetup paperSize="8" fitToHeight="0" orientation="landscape" r:id="rId6"/>
      <autoFilter ref="A1:M70"/>
    </customSheetView>
    <customSheetView guid="{7FBA698A-B4F9-473C-A697-22EC99EC7386}" scale="120" fitToPage="1" showAutoFilter="1">
      <pane xSplit="1" ySplit="1" topLeftCell="I8" activePane="bottomRight" state="frozen"/>
      <selection pane="bottomRight" activeCell="O9" sqref="O9"/>
      <pageMargins left="0.25" right="0.25" top="0.75" bottom="0.75" header="0.3" footer="0.3"/>
      <pageSetup paperSize="9" fitToHeight="0" orientation="landscape" r:id="rId7"/>
      <autoFilter ref="A1:M70"/>
    </customSheetView>
    <customSheetView guid="{53CF95D2-2F99-49E8-AB7F-7627DCDE0DC8}" scale="85" showAutoFilter="1">
      <pane xSplit="1" ySplit="1" topLeftCell="B2" activePane="bottomRight" state="frozen"/>
      <selection pane="bottomRight" activeCell="H3" sqref="H3"/>
      <pageMargins left="0.23622047244094491" right="0.23622047244094491" top="0.74803149606299213" bottom="0.74803149606299213" header="0.31496062992125984" footer="0.31496062992125984"/>
      <pageSetup paperSize="8" fitToHeight="0" orientation="landscape" r:id="rId8"/>
      <autoFilter ref="A1:M70"/>
    </customSheetView>
    <customSheetView guid="{AD504361-49F3-4986-BDBF-FB73E2299976}" scale="120" showPageBreaks="1" fitToPage="1" printArea="1" showAutoFilter="1">
      <pane xSplit="4" ySplit="2" topLeftCell="J19" activePane="bottomRight" state="frozen"/>
      <selection pane="bottomRight" activeCell="L21" sqref="L21"/>
      <pageMargins left="0.25" right="0.25" top="0.75" bottom="0.75" header="0.3" footer="0.3"/>
      <pageSetup paperSize="9" scale="80" fitToHeight="0" orientation="landscape" r:id="rId9"/>
      <autoFilter ref="A1:M70"/>
    </customSheetView>
    <customSheetView guid="{DD0EA6D3-BC8C-40D3-B12F-B88059C8E3DC}" scale="120" fitToPage="1" showAutoFilter="1">
      <pane xSplit="1" ySplit="1" topLeftCell="F33" activePane="bottomRight" state="frozen"/>
      <selection pane="bottomRight" activeCell="F33" sqref="F33"/>
      <pageMargins left="0.25" right="0.25" top="0.75" bottom="0.75" header="0.3" footer="0.3"/>
      <pageSetup paperSize="9" scale="82" fitToHeight="0" orientation="landscape" r:id="rId10"/>
      <autoFilter ref="A1:M70"/>
    </customSheetView>
    <customSheetView guid="{2A6315F5-C9A2-43A7-B337-00FD30A3EB26}" scale="110" showPageBreaks="1" fitToPage="1" printArea="1" showAutoFilter="1">
      <pane xSplit="7" ySplit="1" topLeftCell="H2" activePane="bottomRight" state="frozen"/>
      <selection pane="bottomRight"/>
      <pageMargins left="0.25" right="0.25" top="0.75" bottom="0.75" header="0.3" footer="0.3"/>
      <pageSetup paperSize="9" scale="73" fitToHeight="0" orientation="landscape" r:id="rId11"/>
      <autoFilter ref="G1:O67"/>
    </customSheetView>
    <customSheetView guid="{D1BD168D-40B4-46AB-88B7-64C22520CFA0}" scale="120" showPageBreaks="1" fitToPage="1" printArea="1" showAutoFilter="1">
      <pane xSplit="4" ySplit="2" topLeftCell="E52" activePane="bottomRight" state="frozen"/>
      <selection pane="bottomRight" activeCell="A57" sqref="A57"/>
      <pageMargins left="0.25" right="0.25" top="0.75" bottom="0.75" header="0.3" footer="0.3"/>
      <pageSetup paperSize="9" fitToHeight="0" orientation="landscape" r:id="rId12"/>
      <autoFilter ref="A1:M72"/>
    </customSheetView>
    <customSheetView guid="{56BC42A3-D967-4F27-BD5A-CB0B8CB7F657}" scale="150" showPageBreaks="1" fitToPage="1" printArea="1" showAutoFilter="1">
      <pane xSplit="4" ySplit="2" topLeftCell="I51" activePane="bottomRight" state="frozen"/>
      <selection pane="bottomRight" activeCell="I51" sqref="I51"/>
      <pageMargins left="0.25" right="0.25" top="0.75" bottom="0.75" header="0.3" footer="0.3"/>
      <pageSetup paperSize="9" scale="92" fitToHeight="0" orientation="landscape" r:id="rId13"/>
      <autoFilter ref="A1:M68"/>
    </customSheetView>
    <customSheetView guid="{DE419AE1-55C7-41E8-9A94-E4062EF30970}" scale="120" showPageBreaks="1" fitToPage="1" printArea="1" showAutoFilter="1">
      <pane xSplit="4" ySplit="2" topLeftCell="E15" activePane="bottomRight" state="frozen"/>
      <selection pane="bottomRight" activeCell="A15" sqref="A15"/>
      <pageMargins left="0.25" right="0.25" top="0.75" bottom="0.75" header="0.3" footer="0.3"/>
      <pageSetup paperSize="9" scale="85" fitToHeight="0" orientation="landscape" r:id="rId14"/>
      <autoFilter ref="A1:M70"/>
    </customSheetView>
    <customSheetView guid="{6B77031E-918C-40F9-A42D-E4EA46622624}" fitToPage="1" showAutoFilter="1">
      <pane xSplit="4" ySplit="2" topLeftCell="I73" activePane="bottomRight" state="frozen"/>
      <selection pane="bottomRight" activeCell="L90" sqref="L90"/>
      <pageMargins left="0.25" right="0.25" top="0.75" bottom="0.75" header="0.3" footer="0.3"/>
      <pageSetup paperSize="9" scale="80" fitToHeight="0" orientation="landscape" r:id="rId15"/>
      <autoFilter ref="A1:M70"/>
    </customSheetView>
    <customSheetView guid="{77799D3C-38E2-410A-80FA-AECD8E6AB89B}" scale="130" showPageBreaks="1" fitToPage="1" printArea="1" showAutoFilter="1" topLeftCell="A7">
      <selection activeCell="A12" sqref="A12"/>
      <pageMargins left="0.25" right="0.25" top="0.75" bottom="0.75" header="0.3" footer="0.3"/>
      <pageSetup paperSize="9" fitToHeight="0" orientation="landscape" r:id="rId16"/>
      <autoFilter ref="A1:M70"/>
    </customSheetView>
    <customSheetView guid="{32A281B9-28FB-4D0E-8C01-BFBADAC8C3C9}" showPageBreaks="1" printArea="1" showAutoFilter="1" hiddenColumns="1">
      <pane xSplit="3" ySplit="1" topLeftCell="E31" activePane="bottomRight" state="frozen"/>
      <selection pane="bottomRight" activeCell="E33" sqref="E33"/>
      <pageMargins left="0.23622047244094491" right="0.23622047244094491" top="0.74803149606299213" bottom="0.74803149606299213" header="0.31496062992125984" footer="0.31496062992125984"/>
      <pageSetup paperSize="8" fitToHeight="0" orientation="landscape" r:id="rId17"/>
      <autoFilter ref="A1:M70"/>
    </customSheetView>
  </customSheetViews>
  <pageMargins left="0.25" right="0.25" top="0.75" bottom="0.75" header="0.3" footer="0.3"/>
  <pageSetup paperSize="9" scale="33" fitToHeight="0" orientation="landscape"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opLeftCell="A13" zoomScaleNormal="70" workbookViewId="0">
      <selection activeCell="D25" sqref="D25"/>
    </sheetView>
  </sheetViews>
  <sheetFormatPr defaultColWidth="9.28515625" defaultRowHeight="15" x14ac:dyDescent="0.25"/>
  <cols>
    <col min="1" max="1" width="8.5703125" style="130" customWidth="1"/>
    <col min="2" max="2" width="40.28515625" style="131" customWidth="1"/>
    <col min="3" max="3" width="11.42578125" style="133" customWidth="1"/>
    <col min="4" max="4" width="6.7109375" style="133" customWidth="1"/>
    <col min="5" max="5" width="6.42578125" style="133" bestFit="1" customWidth="1"/>
    <col min="6" max="6" width="7" style="331" bestFit="1" customWidth="1"/>
    <col min="7" max="7" width="7.28515625" style="133" customWidth="1"/>
    <col min="8" max="8" width="7.42578125" style="133" customWidth="1"/>
    <col min="9" max="9" width="6" style="133" bestFit="1" customWidth="1"/>
    <col min="10" max="10" width="6.5703125" style="134" bestFit="1" customWidth="1"/>
    <col min="11" max="11" width="6.42578125" style="134" customWidth="1"/>
    <col min="12" max="12" width="6.7109375" style="133" bestFit="1" customWidth="1"/>
    <col min="13" max="13" width="8.7109375" style="133" customWidth="1"/>
    <col min="14" max="15" width="6.5703125" style="133" customWidth="1"/>
    <col min="16" max="16" width="11" style="133" customWidth="1"/>
    <col min="17" max="17" width="10" style="133" customWidth="1"/>
    <col min="18" max="19" width="6.7109375" style="133" customWidth="1"/>
    <col min="20" max="20" width="7" style="331" customWidth="1"/>
    <col min="21" max="22" width="7" style="133" customWidth="1"/>
    <col min="23" max="23" width="6.42578125" style="133" bestFit="1" customWidth="1"/>
    <col min="24" max="24" width="5.7109375" style="134" customWidth="1"/>
    <col min="25" max="25" width="6.28515625" style="134" customWidth="1"/>
    <col min="26" max="26" width="6.5703125" style="133" customWidth="1"/>
    <col min="27" max="27" width="7.5703125" style="133" customWidth="1"/>
    <col min="28" max="28" width="6.5703125" style="133" customWidth="1"/>
    <col min="29" max="29" width="7.28515625" style="133" customWidth="1"/>
    <col min="30" max="30" width="11.5703125" style="133" customWidth="1"/>
    <col min="31" max="16384" width="9.28515625" style="126"/>
  </cols>
  <sheetData>
    <row r="1" spans="1:30" x14ac:dyDescent="0.25">
      <c r="A1" s="468" t="s">
        <v>458</v>
      </c>
      <c r="B1" s="470" t="s">
        <v>59</v>
      </c>
      <c r="C1" s="472" t="s">
        <v>60</v>
      </c>
      <c r="D1" s="473"/>
      <c r="E1" s="473"/>
      <c r="F1" s="473"/>
      <c r="G1" s="473"/>
      <c r="H1" s="473"/>
      <c r="I1" s="473"/>
      <c r="J1" s="473"/>
      <c r="K1" s="473"/>
      <c r="L1" s="473"/>
      <c r="M1" s="473"/>
      <c r="N1" s="473"/>
      <c r="O1" s="473"/>
      <c r="P1" s="474"/>
      <c r="Q1" s="475" t="s">
        <v>299</v>
      </c>
      <c r="R1" s="476"/>
      <c r="S1" s="476"/>
      <c r="T1" s="476"/>
      <c r="U1" s="476"/>
      <c r="V1" s="476"/>
      <c r="W1" s="476"/>
      <c r="X1" s="476"/>
      <c r="Y1" s="476"/>
      <c r="Z1" s="476"/>
      <c r="AA1" s="476"/>
      <c r="AB1" s="476"/>
      <c r="AC1" s="476"/>
      <c r="AD1" s="477"/>
    </row>
    <row r="2" spans="1:30" ht="48" x14ac:dyDescent="0.25">
      <c r="A2" s="469"/>
      <c r="B2" s="471"/>
      <c r="C2" s="162" t="s">
        <v>61</v>
      </c>
      <c r="D2" s="162" t="s">
        <v>62</v>
      </c>
      <c r="E2" s="162" t="s">
        <v>63</v>
      </c>
      <c r="F2" s="326" t="s">
        <v>416</v>
      </c>
      <c r="G2" s="162" t="s">
        <v>64</v>
      </c>
      <c r="H2" s="162" t="s">
        <v>290</v>
      </c>
      <c r="I2" s="162" t="s">
        <v>451</v>
      </c>
      <c r="J2" s="162" t="s">
        <v>65</v>
      </c>
      <c r="K2" s="162" t="s">
        <v>66</v>
      </c>
      <c r="L2" s="162" t="s">
        <v>67</v>
      </c>
      <c r="M2" s="162" t="s">
        <v>68</v>
      </c>
      <c r="N2" s="162" t="s">
        <v>69</v>
      </c>
      <c r="O2" s="162" t="s">
        <v>309</v>
      </c>
      <c r="P2" s="163" t="s">
        <v>70</v>
      </c>
      <c r="Q2" s="162" t="s">
        <v>71</v>
      </c>
      <c r="R2" s="162" t="s">
        <v>72</v>
      </c>
      <c r="S2" s="162" t="s">
        <v>73</v>
      </c>
      <c r="T2" s="162" t="s">
        <v>416</v>
      </c>
      <c r="U2" s="162" t="s">
        <v>417</v>
      </c>
      <c r="V2" s="162" t="s">
        <v>290</v>
      </c>
      <c r="W2" s="162" t="s">
        <v>74</v>
      </c>
      <c r="X2" s="162" t="s">
        <v>308</v>
      </c>
      <c r="Y2" s="162" t="s">
        <v>75</v>
      </c>
      <c r="Z2" s="162" t="s">
        <v>76</v>
      </c>
      <c r="AA2" s="162" t="s">
        <v>77</v>
      </c>
      <c r="AB2" s="162" t="s">
        <v>78</v>
      </c>
      <c r="AC2" s="162" t="s">
        <v>309</v>
      </c>
      <c r="AD2" s="163" t="s">
        <v>79</v>
      </c>
    </row>
    <row r="3" spans="1:30" ht="33.75" customHeight="1" x14ac:dyDescent="0.25">
      <c r="A3" s="353" t="s">
        <v>80</v>
      </c>
      <c r="B3" s="169" t="s">
        <v>304</v>
      </c>
      <c r="C3" s="169">
        <v>11</v>
      </c>
      <c r="D3" s="169">
        <v>6</v>
      </c>
      <c r="E3" s="169"/>
      <c r="F3" s="169">
        <v>3</v>
      </c>
      <c r="G3" s="169"/>
      <c r="H3" s="169">
        <v>3</v>
      </c>
      <c r="I3" s="169"/>
      <c r="J3" s="169"/>
      <c r="K3" s="169"/>
      <c r="L3" s="169"/>
      <c r="M3" s="169"/>
      <c r="N3" s="169"/>
      <c r="O3" s="169"/>
      <c r="P3" s="166">
        <f>SUM(C3:O3)</f>
        <v>23</v>
      </c>
      <c r="Q3" s="164">
        <v>28</v>
      </c>
      <c r="R3" s="164">
        <v>16</v>
      </c>
      <c r="S3" s="164"/>
      <c r="T3" s="165">
        <v>14</v>
      </c>
      <c r="U3" s="165"/>
      <c r="V3" s="164">
        <v>8</v>
      </c>
      <c r="W3" s="165"/>
      <c r="X3" s="165"/>
      <c r="Y3" s="165"/>
      <c r="Z3" s="164"/>
      <c r="AA3" s="164"/>
      <c r="AB3" s="164"/>
      <c r="AC3" s="164"/>
      <c r="AD3" s="166">
        <f>SUM(Q3:AC3)</f>
        <v>66</v>
      </c>
    </row>
    <row r="4" spans="1:30" x14ac:dyDescent="0.25">
      <c r="A4" s="169" t="s">
        <v>303</v>
      </c>
      <c r="B4" s="169" t="s">
        <v>329</v>
      </c>
      <c r="C4" s="169"/>
      <c r="D4" s="169"/>
      <c r="E4" s="169"/>
      <c r="F4" s="169"/>
      <c r="G4" s="169"/>
      <c r="H4" s="169"/>
      <c r="I4" s="169">
        <v>1</v>
      </c>
      <c r="J4" s="169"/>
      <c r="K4" s="169"/>
      <c r="L4" s="169"/>
      <c r="M4" s="169"/>
      <c r="N4" s="169">
        <v>1</v>
      </c>
      <c r="O4" s="169"/>
      <c r="P4" s="166">
        <f t="shared" ref="P4:P24" si="0">SUM(C4:O4)</f>
        <v>2</v>
      </c>
      <c r="Q4" s="164">
        <v>4</v>
      </c>
      <c r="R4" s="164"/>
      <c r="S4" s="164"/>
      <c r="T4" s="165">
        <v>1</v>
      </c>
      <c r="U4" s="165"/>
      <c r="V4" s="164"/>
      <c r="W4" s="165">
        <v>4</v>
      </c>
      <c r="X4" s="165"/>
      <c r="Y4" s="165"/>
      <c r="Z4" s="164"/>
      <c r="AA4" s="164"/>
      <c r="AB4" s="164">
        <v>1</v>
      </c>
      <c r="AC4" s="164"/>
      <c r="AD4" s="166">
        <f>SUM(Q4:AC4)</f>
        <v>10</v>
      </c>
    </row>
    <row r="5" spans="1:30" ht="30" x14ac:dyDescent="0.25">
      <c r="A5" s="353" t="s">
        <v>306</v>
      </c>
      <c r="B5" s="169" t="s">
        <v>330</v>
      </c>
      <c r="C5" s="169">
        <v>13</v>
      </c>
      <c r="D5" s="169"/>
      <c r="E5" s="169">
        <v>5</v>
      </c>
      <c r="F5" s="169">
        <v>4</v>
      </c>
      <c r="G5" s="169">
        <v>3</v>
      </c>
      <c r="H5" s="169"/>
      <c r="I5" s="169"/>
      <c r="J5" s="169"/>
      <c r="K5" s="169"/>
      <c r="L5" s="169"/>
      <c r="M5" s="169"/>
      <c r="N5" s="169"/>
      <c r="O5" s="169"/>
      <c r="P5" s="166">
        <f>SUM(C5:O5)</f>
        <v>25</v>
      </c>
      <c r="Q5" s="164">
        <v>24</v>
      </c>
      <c r="R5" s="164"/>
      <c r="S5" s="164">
        <v>9</v>
      </c>
      <c r="T5" s="165">
        <v>3</v>
      </c>
      <c r="U5" s="165">
        <v>8</v>
      </c>
      <c r="V5" s="164"/>
      <c r="W5" s="164"/>
      <c r="X5" s="165"/>
      <c r="Y5" s="165"/>
      <c r="Z5" s="164"/>
      <c r="AA5" s="164"/>
      <c r="AB5" s="164"/>
      <c r="AC5" s="164"/>
      <c r="AD5" s="166">
        <f>SUM(Q5:AC5)</f>
        <v>44</v>
      </c>
    </row>
    <row r="6" spans="1:30" ht="30" x14ac:dyDescent="0.25">
      <c r="A6" s="354" t="s">
        <v>307</v>
      </c>
      <c r="B6" s="169" t="s">
        <v>452</v>
      </c>
      <c r="C6" s="169"/>
      <c r="D6" s="169">
        <v>72</v>
      </c>
      <c r="E6" s="169">
        <v>118</v>
      </c>
      <c r="F6" s="169">
        <v>63</v>
      </c>
      <c r="G6" s="169">
        <v>240</v>
      </c>
      <c r="H6" s="169"/>
      <c r="I6" s="169"/>
      <c r="J6" s="169"/>
      <c r="K6" s="169"/>
      <c r="L6" s="169"/>
      <c r="M6" s="169"/>
      <c r="N6" s="169"/>
      <c r="O6" s="169"/>
      <c r="P6" s="166">
        <f>SUM(C6:O6)</f>
        <v>493</v>
      </c>
      <c r="Q6" s="167"/>
      <c r="R6" s="168">
        <v>216</v>
      </c>
      <c r="S6" s="164">
        <v>610</v>
      </c>
      <c r="T6" s="165">
        <v>173</v>
      </c>
      <c r="U6" s="165">
        <v>720</v>
      </c>
      <c r="V6" s="164"/>
      <c r="W6" s="164"/>
      <c r="X6" s="164"/>
      <c r="Y6" s="164"/>
      <c r="Z6" s="165"/>
      <c r="AA6" s="165"/>
      <c r="AB6" s="164"/>
      <c r="AC6" s="164"/>
      <c r="AD6" s="166">
        <f>SUM(Q6:AC6)</f>
        <v>1719</v>
      </c>
    </row>
    <row r="7" spans="1:30" ht="60" x14ac:dyDescent="0.25">
      <c r="A7" s="169" t="s">
        <v>333</v>
      </c>
      <c r="B7" s="169" t="s">
        <v>412</v>
      </c>
      <c r="C7" s="169"/>
      <c r="D7" s="169"/>
      <c r="E7" s="169"/>
      <c r="F7" s="169"/>
      <c r="G7" s="169">
        <v>92</v>
      </c>
      <c r="H7" s="169"/>
      <c r="I7" s="169"/>
      <c r="J7" s="169"/>
      <c r="K7" s="169"/>
      <c r="L7" s="169"/>
      <c r="M7" s="169"/>
      <c r="N7" s="169"/>
      <c r="O7" s="169"/>
      <c r="P7" s="166">
        <f>SUM(C7:O7)</f>
        <v>92</v>
      </c>
      <c r="Q7" s="167"/>
      <c r="R7" s="168"/>
      <c r="S7" s="164"/>
      <c r="T7" s="165"/>
      <c r="U7" s="165">
        <v>94</v>
      </c>
      <c r="V7" s="164"/>
      <c r="W7" s="164"/>
      <c r="X7" s="164"/>
      <c r="Y7" s="164"/>
      <c r="Z7" s="165"/>
      <c r="AA7" s="165"/>
      <c r="AB7" s="164"/>
      <c r="AC7" s="164"/>
      <c r="AD7" s="166">
        <f>SUM(Q7:AC7)</f>
        <v>94</v>
      </c>
    </row>
    <row r="8" spans="1:30" ht="30" x14ac:dyDescent="0.25">
      <c r="A8" s="169" t="s">
        <v>365</v>
      </c>
      <c r="B8" s="169" t="s">
        <v>328</v>
      </c>
      <c r="C8" s="169"/>
      <c r="D8" s="169"/>
      <c r="E8" s="169"/>
      <c r="F8" s="169"/>
      <c r="G8" s="169"/>
      <c r="H8" s="169">
        <v>0</v>
      </c>
      <c r="I8" s="169"/>
      <c r="J8" s="169"/>
      <c r="K8" s="169"/>
      <c r="L8" s="169"/>
      <c r="M8" s="169"/>
      <c r="N8" s="169"/>
      <c r="O8" s="169"/>
      <c r="P8" s="166">
        <f t="shared" si="0"/>
        <v>0</v>
      </c>
      <c r="Q8" s="167"/>
      <c r="R8" s="168"/>
      <c r="S8" s="164"/>
      <c r="T8" s="165"/>
      <c r="U8" s="165"/>
      <c r="V8" s="327">
        <v>0</v>
      </c>
      <c r="W8" s="164"/>
      <c r="X8" s="164"/>
      <c r="Y8" s="164"/>
      <c r="Z8" s="165"/>
      <c r="AA8" s="165"/>
      <c r="AB8" s="164"/>
      <c r="AC8" s="164"/>
      <c r="AD8" s="166">
        <f t="shared" ref="AD8:AD24" si="1">SUM(Q8:AC8)</f>
        <v>0</v>
      </c>
    </row>
    <row r="9" spans="1:30" x14ac:dyDescent="0.25">
      <c r="A9" s="169" t="s">
        <v>334</v>
      </c>
      <c r="B9" s="169" t="s">
        <v>453</v>
      </c>
      <c r="C9" s="169">
        <v>25</v>
      </c>
      <c r="D9" s="169"/>
      <c r="E9" s="169"/>
      <c r="F9" s="169"/>
      <c r="G9" s="169"/>
      <c r="H9" s="169"/>
      <c r="I9" s="169"/>
      <c r="J9" s="169"/>
      <c r="K9" s="169"/>
      <c r="L9" s="169"/>
      <c r="M9" s="169"/>
      <c r="N9" s="169"/>
      <c r="O9" s="169"/>
      <c r="P9" s="166">
        <f>SUM(C9:O9)</f>
        <v>25</v>
      </c>
      <c r="Q9" s="167">
        <v>75</v>
      </c>
      <c r="R9" s="168"/>
      <c r="S9" s="164"/>
      <c r="T9" s="165"/>
      <c r="U9" s="165"/>
      <c r="V9" s="164"/>
      <c r="W9" s="164"/>
      <c r="X9" s="164"/>
      <c r="Y9" s="164"/>
      <c r="Z9" s="165"/>
      <c r="AA9" s="165"/>
      <c r="AB9" s="164"/>
      <c r="AC9" s="164"/>
      <c r="AD9" s="166">
        <f>SUM(Q9:AC9)</f>
        <v>75</v>
      </c>
    </row>
    <row r="10" spans="1:30" ht="30" x14ac:dyDescent="0.25">
      <c r="A10" s="169" t="s">
        <v>366</v>
      </c>
      <c r="B10" s="169" t="s">
        <v>454</v>
      </c>
      <c r="C10" s="401">
        <v>10</v>
      </c>
      <c r="D10" s="169"/>
      <c r="E10" s="169"/>
      <c r="F10" s="169"/>
      <c r="G10" s="169"/>
      <c r="H10" s="169"/>
      <c r="I10" s="169"/>
      <c r="J10" s="169"/>
      <c r="K10" s="169"/>
      <c r="L10" s="169"/>
      <c r="M10" s="169"/>
      <c r="N10" s="169"/>
      <c r="O10" s="169"/>
      <c r="P10" s="166">
        <f>SUM(C10:O10)</f>
        <v>10</v>
      </c>
      <c r="Q10" s="167">
        <v>30</v>
      </c>
      <c r="R10" s="168"/>
      <c r="S10" s="164"/>
      <c r="T10" s="165"/>
      <c r="U10" s="165"/>
      <c r="V10" s="164"/>
      <c r="W10" s="164"/>
      <c r="X10" s="164"/>
      <c r="Y10" s="164"/>
      <c r="Z10" s="165"/>
      <c r="AA10" s="165"/>
      <c r="AB10" s="164"/>
      <c r="AC10" s="164"/>
      <c r="AD10" s="166">
        <f>SUM(Q10:AC10)</f>
        <v>30</v>
      </c>
    </row>
    <row r="11" spans="1:30" ht="30" x14ac:dyDescent="0.25">
      <c r="A11" s="169" t="s">
        <v>335</v>
      </c>
      <c r="B11" s="169" t="s">
        <v>310</v>
      </c>
      <c r="C11" s="401">
        <v>20</v>
      </c>
      <c r="D11" s="169"/>
      <c r="E11" s="169"/>
      <c r="F11" s="169"/>
      <c r="G11" s="169"/>
      <c r="H11" s="169"/>
      <c r="I11" s="169"/>
      <c r="J11" s="169"/>
      <c r="K11" s="169"/>
      <c r="L11" s="169"/>
      <c r="M11" s="169"/>
      <c r="N11" s="169"/>
      <c r="O11" s="169"/>
      <c r="P11" s="166">
        <f>SUM(C11:O11)</f>
        <v>20</v>
      </c>
      <c r="Q11" s="167">
        <v>40</v>
      </c>
      <c r="R11" s="168"/>
      <c r="S11" s="164"/>
      <c r="T11" s="327"/>
      <c r="U11" s="164"/>
      <c r="V11" s="164"/>
      <c r="W11" s="164"/>
      <c r="X11" s="164"/>
      <c r="Y11" s="164"/>
      <c r="Z11" s="165"/>
      <c r="AA11" s="165"/>
      <c r="AB11" s="164"/>
      <c r="AC11" s="164"/>
      <c r="AD11" s="166">
        <f>SUM(Q11:AC11)</f>
        <v>40</v>
      </c>
    </row>
    <row r="12" spans="1:30" ht="45" x14ac:dyDescent="0.25">
      <c r="A12" s="169" t="s">
        <v>367</v>
      </c>
      <c r="B12" s="169" t="s">
        <v>393</v>
      </c>
      <c r="C12" s="401">
        <v>53.1</v>
      </c>
      <c r="D12" s="169">
        <v>55.04</v>
      </c>
      <c r="E12" s="169">
        <v>30</v>
      </c>
      <c r="F12" s="169">
        <v>9.6</v>
      </c>
      <c r="G12" s="169">
        <v>18.8</v>
      </c>
      <c r="H12" s="169"/>
      <c r="I12" s="169">
        <v>0</v>
      </c>
      <c r="J12" s="169">
        <v>0</v>
      </c>
      <c r="K12" s="169"/>
      <c r="L12" s="169">
        <v>88</v>
      </c>
      <c r="M12" s="169"/>
      <c r="N12" s="169">
        <v>38</v>
      </c>
      <c r="O12" s="169"/>
      <c r="P12" s="319">
        <f t="shared" si="0"/>
        <v>292.53999999999996</v>
      </c>
      <c r="Q12" s="318">
        <v>53.1</v>
      </c>
      <c r="R12" s="318">
        <v>55.04</v>
      </c>
      <c r="S12" s="318">
        <v>30</v>
      </c>
      <c r="T12" s="318">
        <v>9.6</v>
      </c>
      <c r="U12" s="318">
        <v>18.8</v>
      </c>
      <c r="V12" s="318"/>
      <c r="W12" s="318">
        <v>0</v>
      </c>
      <c r="X12" s="318">
        <v>0</v>
      </c>
      <c r="Y12" s="318"/>
      <c r="Z12" s="318">
        <v>88</v>
      </c>
      <c r="AA12" s="318"/>
      <c r="AB12" s="318">
        <v>38</v>
      </c>
      <c r="AC12" s="318"/>
      <c r="AD12" s="319">
        <f t="shared" si="1"/>
        <v>292.53999999999996</v>
      </c>
    </row>
    <row r="13" spans="1:30" x14ac:dyDescent="0.25">
      <c r="A13" s="169" t="s">
        <v>336</v>
      </c>
      <c r="B13" s="169" t="s">
        <v>488</v>
      </c>
      <c r="C13" s="401">
        <f>4+1+1+2</f>
        <v>8</v>
      </c>
      <c r="D13" s="169">
        <f>2+1</f>
        <v>3</v>
      </c>
      <c r="E13" s="169"/>
      <c r="F13" s="169">
        <v>2</v>
      </c>
      <c r="G13" s="169">
        <f>2+1</f>
        <v>3</v>
      </c>
      <c r="H13" s="169">
        <f>2+1</f>
        <v>3</v>
      </c>
      <c r="I13" s="169">
        <v>1</v>
      </c>
      <c r="J13" s="169">
        <v>2</v>
      </c>
      <c r="K13" s="169"/>
      <c r="L13" s="169"/>
      <c r="M13" s="169"/>
      <c r="N13" s="169">
        <v>2</v>
      </c>
      <c r="O13" s="169">
        <v>11</v>
      </c>
      <c r="P13" s="166">
        <f>SUM(C13:O13)</f>
        <v>35</v>
      </c>
      <c r="Q13" s="167">
        <f>12+1+3+3+7</f>
        <v>26</v>
      </c>
      <c r="R13" s="168">
        <f>7+1</f>
        <v>8</v>
      </c>
      <c r="S13" s="164"/>
      <c r="T13" s="165">
        <v>7</v>
      </c>
      <c r="U13" s="164">
        <f>7+3</f>
        <v>10</v>
      </c>
      <c r="V13" s="164">
        <f>7+1</f>
        <v>8</v>
      </c>
      <c r="W13" s="164">
        <v>2</v>
      </c>
      <c r="X13" s="164">
        <v>7</v>
      </c>
      <c r="Y13" s="164"/>
      <c r="Z13" s="165"/>
      <c r="AA13" s="165"/>
      <c r="AB13" s="164">
        <v>7</v>
      </c>
      <c r="AC13" s="164">
        <v>19</v>
      </c>
      <c r="AD13" s="166">
        <f>SUM(Q13:AC13)</f>
        <v>94</v>
      </c>
    </row>
    <row r="14" spans="1:30" x14ac:dyDescent="0.25">
      <c r="A14" s="169" t="s">
        <v>337</v>
      </c>
      <c r="B14" s="169" t="s">
        <v>443</v>
      </c>
      <c r="C14" s="401">
        <f>61*3</f>
        <v>183</v>
      </c>
      <c r="D14" s="169">
        <f>64*2*3</f>
        <v>384</v>
      </c>
      <c r="E14" s="169">
        <f>120*3</f>
        <v>360</v>
      </c>
      <c r="F14" s="169">
        <f>28*3</f>
        <v>84</v>
      </c>
      <c r="G14" s="169">
        <v>45</v>
      </c>
      <c r="H14" s="169">
        <f>3*20</f>
        <v>60</v>
      </c>
      <c r="I14" s="169">
        <f>5*3</f>
        <v>15</v>
      </c>
      <c r="J14" s="169"/>
      <c r="K14" s="169"/>
      <c r="L14" s="169"/>
      <c r="M14" s="169">
        <v>300</v>
      </c>
      <c r="N14" s="169">
        <v>150</v>
      </c>
      <c r="O14" s="169">
        <v>8998.4630000000034</v>
      </c>
      <c r="P14" s="166">
        <f t="shared" si="0"/>
        <v>10579.463000000003</v>
      </c>
      <c r="Q14" s="167">
        <f>61*8</f>
        <v>488</v>
      </c>
      <c r="R14" s="164">
        <f>64*2*8</f>
        <v>1024</v>
      </c>
      <c r="S14" s="164">
        <f>120*8</f>
        <v>960</v>
      </c>
      <c r="T14" s="165">
        <f>28*8</f>
        <v>224</v>
      </c>
      <c r="U14" s="164">
        <f>120</f>
        <v>120</v>
      </c>
      <c r="V14" s="164">
        <f>8*20</f>
        <v>160</v>
      </c>
      <c r="W14" s="164">
        <f>5*8</f>
        <v>40</v>
      </c>
      <c r="X14" s="164"/>
      <c r="Y14" s="164"/>
      <c r="Z14" s="165"/>
      <c r="AA14" s="165">
        <v>300</v>
      </c>
      <c r="AB14" s="164">
        <v>400</v>
      </c>
      <c r="AC14" s="164">
        <v>15801.543333333335</v>
      </c>
      <c r="AD14" s="166">
        <f t="shared" si="1"/>
        <v>19517.543333333335</v>
      </c>
    </row>
    <row r="15" spans="1:30" ht="45" x14ac:dyDescent="0.25">
      <c r="A15" s="169" t="s">
        <v>338</v>
      </c>
      <c r="B15" s="169" t="s">
        <v>444</v>
      </c>
      <c r="C15" s="401"/>
      <c r="D15" s="169"/>
      <c r="E15" s="169"/>
      <c r="F15" s="169"/>
      <c r="G15" s="169"/>
      <c r="H15" s="169"/>
      <c r="I15" s="169"/>
      <c r="J15" s="169"/>
      <c r="K15" s="169"/>
      <c r="L15" s="169"/>
      <c r="M15" s="169"/>
      <c r="N15" s="169"/>
      <c r="O15" s="169">
        <v>70</v>
      </c>
      <c r="P15" s="166">
        <v>70</v>
      </c>
      <c r="Q15" s="167"/>
      <c r="R15" s="168"/>
      <c r="S15" s="164"/>
      <c r="T15" s="327"/>
      <c r="U15" s="164"/>
      <c r="V15" s="164"/>
      <c r="W15" s="164"/>
      <c r="X15" s="164"/>
      <c r="Y15" s="164"/>
      <c r="Z15" s="165"/>
      <c r="AA15" s="165"/>
      <c r="AB15" s="164"/>
      <c r="AC15" s="164"/>
      <c r="AD15" s="166">
        <v>80</v>
      </c>
    </row>
    <row r="16" spans="1:30" x14ac:dyDescent="0.25">
      <c r="A16" s="169" t="s">
        <v>339</v>
      </c>
      <c r="B16" s="169" t="s">
        <v>455</v>
      </c>
      <c r="C16" s="401"/>
      <c r="D16" s="169"/>
      <c r="E16" s="169"/>
      <c r="F16" s="169"/>
      <c r="G16" s="169"/>
      <c r="H16" s="169"/>
      <c r="I16" s="169"/>
      <c r="J16" s="169"/>
      <c r="K16" s="397">
        <v>0</v>
      </c>
      <c r="L16" s="169"/>
      <c r="M16" s="169"/>
      <c r="N16" s="169"/>
      <c r="O16" s="169"/>
      <c r="P16" s="166">
        <f t="shared" si="0"/>
        <v>0</v>
      </c>
      <c r="Q16" s="167"/>
      <c r="R16" s="168"/>
      <c r="S16" s="164"/>
      <c r="T16" s="327"/>
      <c r="U16" s="164"/>
      <c r="V16" s="164"/>
      <c r="W16" s="164"/>
      <c r="X16" s="164"/>
      <c r="Y16" s="327">
        <v>0</v>
      </c>
      <c r="Z16" s="165"/>
      <c r="AA16" s="165"/>
      <c r="AB16" s="164"/>
      <c r="AC16" s="164"/>
      <c r="AD16" s="166">
        <f t="shared" si="1"/>
        <v>0</v>
      </c>
    </row>
    <row r="17" spans="1:30" x14ac:dyDescent="0.25">
      <c r="A17" s="169" t="s">
        <v>376</v>
      </c>
      <c r="B17" s="169" t="s">
        <v>377</v>
      </c>
      <c r="C17" s="401"/>
      <c r="D17" s="169"/>
      <c r="E17" s="169"/>
      <c r="F17" s="169"/>
      <c r="G17" s="169"/>
      <c r="H17" s="169"/>
      <c r="I17" s="169"/>
      <c r="J17" s="169">
        <v>10</v>
      </c>
      <c r="K17" s="169"/>
      <c r="L17" s="169"/>
      <c r="M17" s="169"/>
      <c r="N17" s="169"/>
      <c r="O17" s="169"/>
      <c r="P17" s="166">
        <f t="shared" si="0"/>
        <v>10</v>
      </c>
      <c r="Q17" s="167"/>
      <c r="R17" s="168"/>
      <c r="S17" s="164"/>
      <c r="T17" s="327"/>
      <c r="U17" s="164"/>
      <c r="V17" s="164"/>
      <c r="W17" s="164"/>
      <c r="X17" s="164">
        <v>60</v>
      </c>
      <c r="Y17" s="164"/>
      <c r="Z17" s="165"/>
      <c r="AA17" s="165"/>
      <c r="AB17" s="164"/>
      <c r="AC17" s="164"/>
      <c r="AD17" s="166">
        <f t="shared" si="1"/>
        <v>60</v>
      </c>
    </row>
    <row r="18" spans="1:30" ht="30" x14ac:dyDescent="0.25">
      <c r="A18" s="169" t="s">
        <v>340</v>
      </c>
      <c r="B18" s="169" t="s">
        <v>331</v>
      </c>
      <c r="C18" s="401"/>
      <c r="D18" s="169"/>
      <c r="E18" s="169"/>
      <c r="F18" s="169"/>
      <c r="G18" s="169"/>
      <c r="H18" s="169"/>
      <c r="I18" s="169"/>
      <c r="J18" s="169"/>
      <c r="K18" s="169"/>
      <c r="L18" s="169"/>
      <c r="M18" s="169"/>
      <c r="N18" s="169"/>
      <c r="O18" s="169"/>
      <c r="P18" s="166">
        <f t="shared" si="0"/>
        <v>0</v>
      </c>
      <c r="Q18" s="167"/>
      <c r="R18" s="168"/>
      <c r="S18" s="164"/>
      <c r="T18" s="327"/>
      <c r="U18" s="164"/>
      <c r="V18" s="164"/>
      <c r="W18" s="164"/>
      <c r="X18" s="164"/>
      <c r="Y18" s="327">
        <v>0</v>
      </c>
      <c r="Z18" s="165"/>
      <c r="AA18" s="165"/>
      <c r="AB18" s="164"/>
      <c r="AC18" s="164"/>
      <c r="AD18" s="166">
        <f t="shared" si="1"/>
        <v>0</v>
      </c>
    </row>
    <row r="19" spans="1:30" ht="30" x14ac:dyDescent="0.25">
      <c r="A19" s="169" t="s">
        <v>382</v>
      </c>
      <c r="B19" s="169" t="s">
        <v>332</v>
      </c>
      <c r="C19" s="401"/>
      <c r="D19" s="169"/>
      <c r="E19" s="169"/>
      <c r="F19" s="169"/>
      <c r="G19" s="169"/>
      <c r="H19" s="169"/>
      <c r="I19" s="169"/>
      <c r="J19" s="169"/>
      <c r="K19" s="169"/>
      <c r="L19" s="169"/>
      <c r="M19" s="169"/>
      <c r="N19" s="169"/>
      <c r="O19" s="169"/>
      <c r="P19" s="166">
        <f t="shared" si="0"/>
        <v>0</v>
      </c>
      <c r="Q19" s="167"/>
      <c r="R19" s="168"/>
      <c r="S19" s="164"/>
      <c r="T19" s="327"/>
      <c r="U19" s="164"/>
      <c r="V19" s="164"/>
      <c r="W19" s="164"/>
      <c r="X19" s="164"/>
      <c r="Y19" s="327">
        <v>0</v>
      </c>
      <c r="Z19" s="165"/>
      <c r="AA19" s="165"/>
      <c r="AB19" s="164"/>
      <c r="AC19" s="164"/>
      <c r="AD19" s="166">
        <f t="shared" si="1"/>
        <v>0</v>
      </c>
    </row>
    <row r="20" spans="1:30" x14ac:dyDescent="0.25">
      <c r="A20" s="169" t="s">
        <v>383</v>
      </c>
      <c r="B20" s="169" t="s">
        <v>388</v>
      </c>
      <c r="C20" s="401"/>
      <c r="D20" s="169"/>
      <c r="E20" s="169"/>
      <c r="F20" s="169"/>
      <c r="G20" s="169"/>
      <c r="H20" s="169"/>
      <c r="I20" s="169"/>
      <c r="J20" s="169"/>
      <c r="K20" s="169">
        <v>0</v>
      </c>
      <c r="L20" s="169"/>
      <c r="M20" s="169"/>
      <c r="N20" s="169"/>
      <c r="O20" s="169"/>
      <c r="P20" s="166">
        <f>SUM(C20:O20)</f>
        <v>0</v>
      </c>
      <c r="Q20" s="167"/>
      <c r="R20" s="168"/>
      <c r="S20" s="164"/>
      <c r="T20" s="327"/>
      <c r="U20" s="164"/>
      <c r="V20" s="164"/>
      <c r="W20" s="164"/>
      <c r="X20" s="164"/>
      <c r="Y20" s="327">
        <v>3</v>
      </c>
      <c r="Z20" s="165"/>
      <c r="AA20" s="165"/>
      <c r="AB20" s="164"/>
      <c r="AC20" s="164"/>
      <c r="AD20" s="166">
        <f>SUM(Q20:AC20)</f>
        <v>3</v>
      </c>
    </row>
    <row r="21" spans="1:30" ht="30" x14ac:dyDescent="0.25">
      <c r="A21" s="169" t="s">
        <v>384</v>
      </c>
      <c r="B21" s="169" t="s">
        <v>387</v>
      </c>
      <c r="C21" s="401"/>
      <c r="D21" s="169"/>
      <c r="E21" s="169"/>
      <c r="F21" s="169"/>
      <c r="G21" s="169"/>
      <c r="H21" s="169"/>
      <c r="I21" s="169"/>
      <c r="J21" s="169">
        <v>12</v>
      </c>
      <c r="K21" s="169"/>
      <c r="L21" s="169">
        <f>1*265+1*2*27</f>
        <v>319</v>
      </c>
      <c r="M21" s="169"/>
      <c r="N21" s="169">
        <v>3</v>
      </c>
      <c r="O21" s="169"/>
      <c r="P21" s="166">
        <f t="shared" si="0"/>
        <v>334</v>
      </c>
      <c r="Q21" s="167"/>
      <c r="R21" s="168"/>
      <c r="S21" s="164"/>
      <c r="T21" s="327"/>
      <c r="U21" s="164"/>
      <c r="V21" s="164"/>
      <c r="W21" s="164"/>
      <c r="X21" s="164">
        <v>36</v>
      </c>
      <c r="Y21" s="164">
        <v>70</v>
      </c>
      <c r="Z21" s="165">
        <f>7*265+7*2*27</f>
        <v>2233</v>
      </c>
      <c r="AA21" s="165"/>
      <c r="AB21" s="164">
        <v>9</v>
      </c>
      <c r="AC21" s="164"/>
      <c r="AD21" s="166">
        <f t="shared" si="1"/>
        <v>2348</v>
      </c>
    </row>
    <row r="22" spans="1:30" ht="30" x14ac:dyDescent="0.25">
      <c r="A22" s="169" t="s">
        <v>385</v>
      </c>
      <c r="B22" s="169" t="s">
        <v>456</v>
      </c>
      <c r="C22" s="402">
        <v>0</v>
      </c>
      <c r="D22" s="169"/>
      <c r="E22" s="169"/>
      <c r="F22" s="169"/>
      <c r="G22" s="169"/>
      <c r="H22" s="169"/>
      <c r="I22" s="169"/>
      <c r="J22" s="169"/>
      <c r="K22" s="169">
        <v>0</v>
      </c>
      <c r="L22" s="169"/>
      <c r="M22" s="169"/>
      <c r="N22" s="169"/>
      <c r="O22" s="169"/>
      <c r="P22" s="166">
        <f t="shared" si="0"/>
        <v>0</v>
      </c>
      <c r="Q22" s="400">
        <v>0</v>
      </c>
      <c r="R22" s="168"/>
      <c r="S22" s="164"/>
      <c r="T22" s="327"/>
      <c r="U22" s="164"/>
      <c r="V22" s="164"/>
      <c r="W22" s="164"/>
      <c r="X22" s="164"/>
      <c r="Y22" s="164"/>
      <c r="Z22" s="165"/>
      <c r="AA22" s="165"/>
      <c r="AB22" s="164"/>
      <c r="AC22" s="164"/>
      <c r="AD22" s="166">
        <f t="shared" si="1"/>
        <v>0</v>
      </c>
    </row>
    <row r="23" spans="1:30" ht="36.75" customHeight="1" x14ac:dyDescent="0.25">
      <c r="A23" s="169" t="s">
        <v>341</v>
      </c>
      <c r="B23" s="169" t="s">
        <v>457</v>
      </c>
      <c r="C23" s="401">
        <v>2160000</v>
      </c>
      <c r="D23" s="169"/>
      <c r="E23" s="169"/>
      <c r="F23" s="169"/>
      <c r="G23" s="169"/>
      <c r="H23" s="169"/>
      <c r="I23" s="169"/>
      <c r="J23" s="169"/>
      <c r="K23" s="169"/>
      <c r="L23" s="169"/>
      <c r="M23" s="169"/>
      <c r="N23" s="169"/>
      <c r="O23" s="169"/>
      <c r="P23" s="166">
        <f t="shared" si="0"/>
        <v>2160000</v>
      </c>
      <c r="Q23" s="167"/>
      <c r="R23" s="168"/>
      <c r="S23" s="164"/>
      <c r="T23" s="327"/>
      <c r="U23" s="164"/>
      <c r="V23" s="164"/>
      <c r="W23" s="164"/>
      <c r="X23" s="164"/>
      <c r="Y23" s="164"/>
      <c r="Z23" s="165"/>
      <c r="AA23" s="165"/>
      <c r="AB23" s="164"/>
      <c r="AC23" s="164"/>
      <c r="AD23" s="406">
        <f t="shared" si="1"/>
        <v>0</v>
      </c>
    </row>
    <row r="24" spans="1:30" ht="45" x14ac:dyDescent="0.25">
      <c r="A24" s="169" t="s">
        <v>386</v>
      </c>
      <c r="B24" s="169" t="s">
        <v>487</v>
      </c>
      <c r="C24" s="402">
        <v>62</v>
      </c>
      <c r="D24" s="169"/>
      <c r="E24" s="169"/>
      <c r="F24" s="169"/>
      <c r="G24" s="169"/>
      <c r="H24" s="169"/>
      <c r="I24" s="169"/>
      <c r="J24" s="169"/>
      <c r="K24" s="169"/>
      <c r="L24" s="169"/>
      <c r="M24" s="169"/>
      <c r="N24" s="169"/>
      <c r="O24" s="169"/>
      <c r="P24" s="166">
        <f t="shared" si="0"/>
        <v>62</v>
      </c>
      <c r="Q24" s="402">
        <v>62</v>
      </c>
      <c r="R24" s="407"/>
      <c r="S24" s="164"/>
      <c r="T24" s="327"/>
      <c r="U24" s="164"/>
      <c r="V24" s="164"/>
      <c r="W24" s="164"/>
      <c r="X24" s="164"/>
      <c r="Y24" s="164"/>
      <c r="Z24" s="165"/>
      <c r="AA24" s="165"/>
      <c r="AB24" s="164"/>
      <c r="AC24" s="164"/>
      <c r="AD24" s="166">
        <f t="shared" si="1"/>
        <v>62</v>
      </c>
    </row>
    <row r="25" spans="1:30" x14ac:dyDescent="0.25">
      <c r="A25" s="169" t="s">
        <v>489</v>
      </c>
      <c r="B25" s="169" t="s">
        <v>490</v>
      </c>
      <c r="C25" s="401">
        <v>0</v>
      </c>
      <c r="D25" s="169"/>
      <c r="E25" s="169"/>
      <c r="F25" s="169"/>
      <c r="G25" s="169"/>
      <c r="H25" s="169"/>
      <c r="I25" s="169"/>
      <c r="J25" s="169"/>
      <c r="K25" s="169">
        <v>0</v>
      </c>
      <c r="L25" s="169"/>
      <c r="M25" s="169"/>
      <c r="N25" s="169"/>
      <c r="O25" s="169"/>
      <c r="P25" s="166">
        <f t="shared" ref="P25:P26" si="2">SUM(C25:O25)</f>
        <v>0</v>
      </c>
      <c r="Q25" s="167">
        <v>2400000</v>
      </c>
      <c r="R25" s="168"/>
      <c r="S25" s="164"/>
      <c r="T25" s="327"/>
      <c r="U25" s="164"/>
      <c r="V25" s="164"/>
      <c r="W25" s="164"/>
      <c r="X25" s="164"/>
      <c r="Y25" s="164"/>
      <c r="Z25" s="165"/>
      <c r="AA25" s="165"/>
      <c r="AB25" s="164"/>
      <c r="AC25" s="164"/>
      <c r="AD25" s="166">
        <f t="shared" ref="AD25" si="3">SUM(Q25:AC25)</f>
        <v>2400000</v>
      </c>
    </row>
    <row r="26" spans="1:30" ht="36.75" customHeight="1" x14ac:dyDescent="0.25">
      <c r="A26" s="169" t="s">
        <v>491</v>
      </c>
      <c r="B26" s="169" t="s">
        <v>492</v>
      </c>
      <c r="C26" s="401"/>
      <c r="D26" s="169"/>
      <c r="E26" s="169"/>
      <c r="F26" s="169"/>
      <c r="G26" s="169"/>
      <c r="H26" s="169"/>
      <c r="I26" s="169"/>
      <c r="J26" s="169"/>
      <c r="K26" s="169"/>
      <c r="L26" s="169"/>
      <c r="M26" s="169"/>
      <c r="N26" s="169"/>
      <c r="O26" s="169"/>
      <c r="P26" s="166">
        <f t="shared" si="2"/>
        <v>0</v>
      </c>
      <c r="Q26" s="167">
        <v>6912000</v>
      </c>
      <c r="R26" s="168"/>
      <c r="S26" s="164"/>
      <c r="T26" s="327"/>
      <c r="U26" s="164"/>
      <c r="V26" s="164"/>
      <c r="W26" s="164"/>
      <c r="X26" s="164"/>
      <c r="Y26" s="164"/>
      <c r="Z26" s="165"/>
      <c r="AA26" s="165"/>
      <c r="AB26" s="164"/>
      <c r="AC26" s="164"/>
      <c r="AD26" s="166">
        <f>SUM(Q26:AC26)</f>
        <v>6912000</v>
      </c>
    </row>
    <row r="29" spans="1:30" x14ac:dyDescent="0.25">
      <c r="B29" s="233"/>
      <c r="C29" s="234"/>
      <c r="D29" s="234"/>
      <c r="E29" s="234"/>
      <c r="F29" s="328"/>
      <c r="G29" s="234"/>
      <c r="H29" s="234"/>
      <c r="I29" s="234"/>
      <c r="J29" s="235"/>
    </row>
    <row r="30" spans="1:30" x14ac:dyDescent="0.25">
      <c r="B30" s="233"/>
      <c r="C30" s="234"/>
      <c r="D30" s="234"/>
      <c r="E30" s="234"/>
      <c r="F30" s="329"/>
      <c r="G30" s="134"/>
      <c r="J30" s="133"/>
      <c r="K30" s="133"/>
      <c r="T30" s="330"/>
      <c r="U30" s="134"/>
      <c r="X30" s="133"/>
      <c r="Y30" s="133"/>
      <c r="AA30" s="126"/>
      <c r="AB30" s="126"/>
      <c r="AC30" s="126"/>
      <c r="AD30" s="126"/>
    </row>
    <row r="31" spans="1:30" x14ac:dyDescent="0.25">
      <c r="B31" s="233"/>
      <c r="C31" s="234"/>
      <c r="D31" s="234"/>
      <c r="E31" s="235"/>
      <c r="F31" s="330"/>
      <c r="J31" s="133"/>
      <c r="K31" s="133"/>
      <c r="S31" s="134"/>
      <c r="T31" s="330"/>
      <c r="X31" s="133"/>
      <c r="Y31" s="133"/>
      <c r="Z31" s="126"/>
      <c r="AA31" s="126"/>
      <c r="AB31" s="126"/>
      <c r="AC31" s="126"/>
      <c r="AD31" s="126"/>
    </row>
    <row r="32" spans="1:30" x14ac:dyDescent="0.25">
      <c r="B32" s="233"/>
      <c r="C32" s="234"/>
      <c r="D32" s="234"/>
      <c r="E32" s="235"/>
      <c r="F32" s="330"/>
      <c r="J32" s="133"/>
      <c r="K32" s="133"/>
      <c r="S32" s="134"/>
      <c r="T32" s="330"/>
      <c r="X32" s="133"/>
      <c r="Y32" s="133"/>
      <c r="Z32" s="126"/>
      <c r="AA32" s="126"/>
      <c r="AB32" s="126"/>
      <c r="AC32" s="126"/>
      <c r="AD32" s="126"/>
    </row>
    <row r="33" spans="2:30" x14ac:dyDescent="0.25">
      <c r="B33" s="233"/>
      <c r="C33" s="234"/>
      <c r="D33" s="234"/>
      <c r="E33" s="235"/>
      <c r="F33" s="330"/>
      <c r="J33" s="133"/>
      <c r="K33" s="133"/>
      <c r="S33" s="134"/>
      <c r="T33" s="330"/>
      <c r="X33" s="133"/>
      <c r="Y33" s="133"/>
      <c r="Z33" s="126"/>
      <c r="AA33" s="126"/>
      <c r="AB33" s="126"/>
      <c r="AC33" s="126"/>
      <c r="AD33" s="126"/>
    </row>
    <row r="34" spans="2:30" x14ac:dyDescent="0.25">
      <c r="B34" s="233"/>
      <c r="C34" s="234"/>
      <c r="D34" s="234"/>
      <c r="E34" s="235"/>
      <c r="F34" s="330"/>
      <c r="J34" s="133"/>
      <c r="K34" s="133"/>
      <c r="S34" s="134"/>
      <c r="T34" s="330"/>
      <c r="X34" s="133"/>
      <c r="Y34" s="133"/>
      <c r="Z34" s="126"/>
      <c r="AA34" s="126"/>
      <c r="AB34" s="126"/>
      <c r="AC34" s="126"/>
      <c r="AD34" s="126"/>
    </row>
    <row r="35" spans="2:30" x14ac:dyDescent="0.25">
      <c r="B35" s="233"/>
      <c r="C35" s="234"/>
      <c r="D35" s="234"/>
      <c r="E35" s="235"/>
      <c r="F35" s="330"/>
      <c r="J35" s="133"/>
      <c r="K35" s="133"/>
      <c r="S35" s="134"/>
      <c r="T35" s="330"/>
      <c r="X35" s="133"/>
      <c r="Y35" s="133"/>
      <c r="Z35" s="126"/>
      <c r="AA35" s="126"/>
      <c r="AB35" s="126"/>
      <c r="AC35" s="126"/>
      <c r="AD35" s="126"/>
    </row>
    <row r="36" spans="2:30" x14ac:dyDescent="0.25">
      <c r="B36" s="233"/>
      <c r="C36" s="234"/>
      <c r="D36" s="234"/>
      <c r="E36" s="235"/>
      <c r="F36" s="330"/>
      <c r="J36" s="133"/>
      <c r="K36" s="133"/>
      <c r="S36" s="134"/>
      <c r="T36" s="330"/>
      <c r="X36" s="133"/>
      <c r="Y36" s="133"/>
      <c r="Z36" s="126"/>
      <c r="AA36" s="126"/>
      <c r="AB36" s="126"/>
      <c r="AC36" s="126"/>
      <c r="AD36" s="126"/>
    </row>
    <row r="37" spans="2:30" x14ac:dyDescent="0.25">
      <c r="B37" s="233"/>
      <c r="C37" s="234"/>
      <c r="D37" s="234"/>
      <c r="E37" s="235"/>
      <c r="F37" s="330"/>
      <c r="J37" s="133"/>
      <c r="K37" s="133"/>
      <c r="S37" s="134"/>
      <c r="T37" s="330"/>
      <c r="X37" s="133"/>
      <c r="Y37" s="133"/>
      <c r="Z37" s="126"/>
      <c r="AA37" s="126"/>
      <c r="AB37" s="126"/>
      <c r="AC37" s="126"/>
      <c r="AD37" s="126"/>
    </row>
    <row r="38" spans="2:30" x14ac:dyDescent="0.25">
      <c r="B38" s="233"/>
      <c r="C38" s="234"/>
      <c r="D38" s="234"/>
      <c r="E38" s="235"/>
      <c r="F38" s="330"/>
      <c r="J38" s="133"/>
      <c r="K38" s="133"/>
      <c r="S38" s="134"/>
      <c r="T38" s="330"/>
      <c r="X38" s="133"/>
      <c r="Y38" s="133"/>
      <c r="Z38" s="126"/>
      <c r="AA38" s="126"/>
      <c r="AB38" s="126"/>
      <c r="AC38" s="126"/>
      <c r="AD38" s="126"/>
    </row>
    <row r="39" spans="2:30" x14ac:dyDescent="0.25">
      <c r="B39" s="233"/>
      <c r="C39" s="234"/>
      <c r="D39" s="234"/>
      <c r="E39" s="235"/>
      <c r="F39" s="330"/>
      <c r="J39" s="133"/>
      <c r="K39" s="133"/>
      <c r="S39" s="134"/>
      <c r="T39" s="330"/>
      <c r="X39" s="133"/>
      <c r="Y39" s="133"/>
      <c r="Z39" s="126"/>
      <c r="AA39" s="126"/>
      <c r="AB39" s="126"/>
      <c r="AC39" s="126"/>
      <c r="AD39" s="126"/>
    </row>
    <row r="40" spans="2:30" x14ac:dyDescent="0.25">
      <c r="B40" s="233"/>
      <c r="C40" s="234"/>
      <c r="D40" s="234"/>
      <c r="E40" s="235"/>
      <c r="F40" s="330"/>
      <c r="J40" s="133"/>
      <c r="K40" s="133"/>
      <c r="S40" s="134"/>
      <c r="T40" s="330"/>
      <c r="X40" s="133"/>
      <c r="Y40" s="133"/>
      <c r="Z40" s="126"/>
      <c r="AA40" s="126"/>
      <c r="AB40" s="126"/>
      <c r="AC40" s="126"/>
      <c r="AD40" s="126"/>
    </row>
    <row r="41" spans="2:30" x14ac:dyDescent="0.25">
      <c r="B41" s="233"/>
      <c r="C41" s="234"/>
      <c r="D41" s="234"/>
      <c r="E41" s="234"/>
      <c r="F41" s="329"/>
      <c r="G41" s="134"/>
      <c r="J41" s="133"/>
      <c r="K41" s="133"/>
      <c r="T41" s="330"/>
      <c r="U41" s="134"/>
      <c r="X41" s="133"/>
      <c r="Y41" s="133"/>
      <c r="AA41" s="126"/>
      <c r="AB41" s="126"/>
      <c r="AC41" s="126"/>
      <c r="AD41" s="126"/>
    </row>
    <row r="42" spans="2:30" x14ac:dyDescent="0.25">
      <c r="F42" s="330"/>
      <c r="G42" s="134"/>
      <c r="J42" s="133"/>
      <c r="K42" s="133"/>
      <c r="T42" s="330"/>
      <c r="U42" s="134"/>
      <c r="X42" s="133"/>
      <c r="Y42" s="133"/>
      <c r="AA42" s="126"/>
      <c r="AB42" s="126"/>
      <c r="AC42" s="126"/>
      <c r="AD42" s="126"/>
    </row>
    <row r="43" spans="2:30" x14ac:dyDescent="0.25">
      <c r="F43" s="330"/>
      <c r="G43" s="134"/>
      <c r="J43" s="133"/>
      <c r="K43" s="133"/>
      <c r="T43" s="330"/>
      <c r="U43" s="134"/>
      <c r="X43" s="133"/>
      <c r="Y43" s="133"/>
      <c r="AA43" s="126"/>
      <c r="AB43" s="126"/>
      <c r="AC43" s="126"/>
      <c r="AD43" s="126"/>
    </row>
  </sheetData>
  <customSheetViews>
    <customSheetView guid="{6BEE494D-3BDB-46C2-9750-A57C1F94B9B8}">
      <selection activeCell="C4" sqref="C4"/>
      <pageMargins left="0.7" right="0.7" top="0.75" bottom="0.75" header="0.3" footer="0.3"/>
      <pageSetup orientation="portrait" r:id="rId1"/>
    </customSheetView>
    <customSheetView guid="{B426F9F8-EB1A-4D7B-9478-7E22D414CC12}">
      <selection activeCell="W4" sqref="W4"/>
      <pageMargins left="0.7" right="0.7" top="0.75" bottom="0.75" header="0.3" footer="0.3"/>
      <pageSetup orientation="portrait" r:id="rId2"/>
    </customSheetView>
    <customSheetView guid="{13EBDE9D-EC74-4522-9EED-363E735B4A78}">
      <selection activeCell="C4" sqref="C4"/>
      <pageMargins left="0.7" right="0.7" top="0.75" bottom="0.75" header="0.3" footer="0.3"/>
      <pageSetup orientation="portrait" r:id="rId3"/>
    </customSheetView>
    <customSheetView guid="{F67C426D-26F1-4B15-961D-40AFD17A9EE3}" scale="70">
      <selection activeCell="B8" sqref="B8"/>
      <pageMargins left="0.70866141732283472" right="0.70866141732283472" top="0.74803149606299213" bottom="0.74803149606299213" header="0.31496062992125984" footer="0.31496062992125984"/>
      <pageSetup scale="80" orientation="landscape" horizontalDpi="4294967294" verticalDpi="4294967294" r:id="rId4"/>
    </customSheetView>
    <customSheetView guid="{B777B674-73ED-4225-A0AA-917FDFF5A819}" scale="70">
      <selection activeCell="E13" sqref="E13"/>
      <pageMargins left="0.70866141732283472" right="0.70866141732283472" top="0.74803149606299213" bottom="0.74803149606299213" header="0.31496062992125984" footer="0.31496062992125984"/>
      <pageSetup scale="80" orientation="landscape" horizontalDpi="4294967294" verticalDpi="4294967294" r:id="rId5"/>
    </customSheetView>
    <customSheetView guid="{DE1004AE-EE6B-445B-9B87-77176E699CEC}" scale="70">
      <selection activeCell="B8" sqref="B8"/>
      <pageMargins left="0.70866141732283472" right="0.70866141732283472" top="0.74803149606299213" bottom="0.74803149606299213" header="0.31496062992125984" footer="0.31496062992125984"/>
      <pageSetup scale="80" orientation="landscape" horizontalDpi="4294967294" verticalDpi="4294967294" r:id="rId6"/>
    </customSheetView>
    <customSheetView guid="{7FBA698A-B4F9-473C-A697-22EC99EC7386}">
      <selection activeCell="A3" sqref="A3"/>
      <pageMargins left="0.7" right="0.7" top="0.75" bottom="0.75" header="0.3" footer="0.3"/>
      <pageSetup orientation="portrait" r:id="rId7"/>
    </customSheetView>
    <customSheetView guid="{53CF95D2-2F99-49E8-AB7F-7627DCDE0DC8}" scale="70">
      <selection activeCell="A6" sqref="A6"/>
      <pageMargins left="0.70866141732283472" right="0.70866141732283472" top="0.74803149606299213" bottom="0.74803149606299213" header="0.31496062992125984" footer="0.31496062992125984"/>
      <pageSetup scale="80" orientation="landscape" horizontalDpi="4294967294" verticalDpi="4294967294" r:id="rId8"/>
    </customSheetView>
    <customSheetView guid="{AD504361-49F3-4986-BDBF-FB73E2299976}">
      <selection activeCell="E14" sqref="E14"/>
      <pageMargins left="0.7" right="0.7" top="0.75" bottom="0.75" header="0.3" footer="0.3"/>
      <pageSetup orientation="portrait" r:id="rId9"/>
    </customSheetView>
    <customSheetView guid="{DD0EA6D3-BC8C-40D3-B12F-B88059C8E3DC}">
      <selection activeCell="N13" sqref="N13"/>
      <pageMargins left="0.7" right="0.7" top="0.75" bottom="0.75" header="0.3" footer="0.3"/>
      <pageSetup orientation="portrait" r:id="rId10"/>
    </customSheetView>
    <customSheetView guid="{2A6315F5-C9A2-43A7-B337-00FD30A3EB26}">
      <selection activeCell="B27" sqref="B27"/>
      <pageMargins left="0.7" right="0.7" top="0.75" bottom="0.75" header="0.3" footer="0.3"/>
      <pageSetup orientation="portrait" r:id="rId11"/>
    </customSheetView>
    <customSheetView guid="{D1BD168D-40B4-46AB-88B7-64C22520CFA0}">
      <selection activeCell="E14" sqref="E14"/>
      <pageMargins left="0.7" right="0.7" top="0.75" bottom="0.75" header="0.3" footer="0.3"/>
      <pageSetup orientation="portrait" r:id="rId12"/>
    </customSheetView>
    <customSheetView guid="{56BC42A3-D967-4F27-BD5A-CB0B8CB7F657}">
      <selection activeCell="O16" sqref="O16"/>
      <pageMargins left="0.7" right="0.7" top="0.75" bottom="0.75" header="0.3" footer="0.3"/>
      <pageSetup orientation="portrait" r:id="rId13"/>
    </customSheetView>
    <customSheetView guid="{DE419AE1-55C7-41E8-9A94-E4062EF30970}" fitToPage="1">
      <selection activeCell="A7" sqref="A7"/>
      <pageMargins left="0.70866141732283472" right="0.70866141732283472" top="0.74803149606299213" bottom="0.74803149606299213" header="0.31496062992125984" footer="0.31496062992125984"/>
      <pageSetup scale="45" fitToHeight="2" orientation="landscape" r:id="rId14"/>
    </customSheetView>
    <customSheetView guid="{6B77031E-918C-40F9-A42D-E4EA46622624}" fitToPage="1">
      <selection activeCell="B7" sqref="B7"/>
      <pageMargins left="0.70866141732283472" right="0.70866141732283472" top="0.74803149606299213" bottom="0.74803149606299213" header="0.31496062992125984" footer="0.31496062992125984"/>
      <pageSetup scale="45" fitToHeight="2" orientation="landscape" r:id="rId15"/>
    </customSheetView>
    <customSheetView guid="{77799D3C-38E2-410A-80FA-AECD8E6AB89B}" showPageBreaks="1" fitToPage="1">
      <selection activeCell="B7" sqref="B7"/>
      <pageMargins left="0.70866141732283472" right="0.70866141732283472" top="0.74803149606299213" bottom="0.74803149606299213" header="0.31496062992125984" footer="0.31496062992125984"/>
      <pageSetup scale="47" fitToHeight="2" orientation="landscape" r:id="rId16"/>
    </customSheetView>
    <customSheetView guid="{32A281B9-28FB-4D0E-8C01-BFBADAC8C3C9}" showPageBreaks="1" hiddenRows="1">
      <selection activeCell="A13" sqref="A13:XFD13"/>
      <pageMargins left="0.70866141732283472" right="0.70866141732283472" top="0.74803149606299213" bottom="0.74803149606299213" header="0.31496062992125984" footer="0.31496062992125984"/>
      <pageSetup scale="80" orientation="landscape" horizontalDpi="4294967294" verticalDpi="4294967294" r:id="rId17"/>
    </customSheetView>
  </customSheetViews>
  <mergeCells count="4">
    <mergeCell ref="A1:A2"/>
    <mergeCell ref="B1:B2"/>
    <mergeCell ref="C1:P1"/>
    <mergeCell ref="Q1:AD1"/>
  </mergeCells>
  <pageMargins left="0.7" right="0.7" top="0.75" bottom="0.75" header="0.3" footer="0.3"/>
  <pageSetup orientation="portrait"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N18" sqref="N18"/>
    </sheetView>
  </sheetViews>
  <sheetFormatPr defaultRowHeight="15" x14ac:dyDescent="0.25"/>
  <cols>
    <col min="1" max="1" width="10" bestFit="1" customWidth="1"/>
    <col min="4" max="4" width="14.7109375" bestFit="1" customWidth="1"/>
    <col min="14" max="14" width="12.28515625" customWidth="1"/>
  </cols>
  <sheetData>
    <row r="1" spans="1:14" x14ac:dyDescent="0.25">
      <c r="A1">
        <v>20882.318840579715</v>
      </c>
      <c r="D1">
        <v>107493</v>
      </c>
      <c r="I1">
        <v>2016</v>
      </c>
      <c r="J1">
        <v>33.799999999999997</v>
      </c>
    </row>
    <row r="2" spans="1:14" x14ac:dyDescent="0.25">
      <c r="A2" s="111">
        <f>(51460-A1)/51460</f>
        <v>0.5942028985507245</v>
      </c>
      <c r="D2">
        <v>31727</v>
      </c>
      <c r="G2">
        <v>270</v>
      </c>
      <c r="I2">
        <v>2017</v>
      </c>
      <c r="J2">
        <v>32.799999999999997</v>
      </c>
    </row>
    <row r="3" spans="1:14" x14ac:dyDescent="0.25">
      <c r="D3">
        <v>4222</v>
      </c>
      <c r="G3">
        <v>1135</v>
      </c>
      <c r="I3">
        <v>2018</v>
      </c>
      <c r="J3">
        <v>33.700000000000003</v>
      </c>
    </row>
    <row r="4" spans="1:14" x14ac:dyDescent="0.25">
      <c r="A4" s="112">
        <v>217867</v>
      </c>
      <c r="B4" t="s">
        <v>160</v>
      </c>
      <c r="D4" s="122">
        <v>143442</v>
      </c>
      <c r="G4">
        <f>SUM(G2:G3)</f>
        <v>1405</v>
      </c>
      <c r="I4">
        <v>2019</v>
      </c>
      <c r="J4">
        <v>32.5</v>
      </c>
    </row>
    <row r="5" spans="1:14" x14ac:dyDescent="0.25">
      <c r="A5" s="112" t="e">
        <f>A4+(#REF!+#REF!)*0.5</f>
        <v>#REF!</v>
      </c>
      <c r="J5">
        <f>J1-J2</f>
        <v>1</v>
      </c>
    </row>
    <row r="6" spans="1:14" x14ac:dyDescent="0.25">
      <c r="D6">
        <f>6527464*0.005</f>
        <v>32637.32</v>
      </c>
      <c r="J6">
        <f>J3-J4</f>
        <v>1.2000000000000028</v>
      </c>
    </row>
    <row r="7" spans="1:14" x14ac:dyDescent="0.25">
      <c r="J7">
        <f>AVERAGE(J5:J6)</f>
        <v>1.1000000000000014</v>
      </c>
    </row>
    <row r="8" spans="1:14" x14ac:dyDescent="0.25">
      <c r="A8" s="111" t="e">
        <f>#REF!/6527464</f>
        <v>#REF!</v>
      </c>
      <c r="D8">
        <v>13.8</v>
      </c>
      <c r="G8" s="124">
        <v>327211</v>
      </c>
    </row>
    <row r="9" spans="1:14" ht="15.75" thickBot="1" x14ac:dyDescent="0.3">
      <c r="D9">
        <v>12.7</v>
      </c>
      <c r="G9" s="125">
        <v>343320</v>
      </c>
    </row>
    <row r="10" spans="1:14" ht="15.75" thickBot="1" x14ac:dyDescent="0.3">
      <c r="A10" s="114">
        <v>234504</v>
      </c>
      <c r="D10">
        <v>12.7</v>
      </c>
      <c r="G10" s="117">
        <v>670531</v>
      </c>
    </row>
    <row r="11" spans="1:14" ht="15.75" thickBot="1" x14ac:dyDescent="0.3">
      <c r="A11" s="114">
        <v>9310</v>
      </c>
      <c r="D11">
        <v>13.9</v>
      </c>
    </row>
    <row r="12" spans="1:14" x14ac:dyDescent="0.25">
      <c r="A12" s="113">
        <f>A10/A11</f>
        <v>25.188399570354459</v>
      </c>
      <c r="D12">
        <f>D8-D9</f>
        <v>1.1000000000000014</v>
      </c>
    </row>
    <row r="13" spans="1:14" x14ac:dyDescent="0.25">
      <c r="A13" s="113"/>
      <c r="D13">
        <f>ABS(D10-D11)</f>
        <v>1.2000000000000011</v>
      </c>
    </row>
    <row r="14" spans="1:14" ht="15.75" thickBot="1" x14ac:dyDescent="0.3">
      <c r="A14" s="115">
        <v>572504</v>
      </c>
      <c r="B14" t="s">
        <v>161</v>
      </c>
      <c r="D14">
        <f>AVERAGE(D12:D13)</f>
        <v>1.1500000000000012</v>
      </c>
    </row>
    <row r="15" spans="1:14" ht="15.75" thickBot="1" x14ac:dyDescent="0.3">
      <c r="A15" s="114">
        <v>26813</v>
      </c>
    </row>
    <row r="16" spans="1:14" x14ac:dyDescent="0.25">
      <c r="A16" s="115">
        <v>91</v>
      </c>
      <c r="D16">
        <f>34000/(1)</f>
        <v>34000</v>
      </c>
      <c r="N16">
        <v>125279172.0055294</v>
      </c>
    </row>
    <row r="17" spans="1:14" x14ac:dyDescent="0.25">
      <c r="A17" s="116">
        <f>A14/(A15+A16)</f>
        <v>21.279512340172467</v>
      </c>
      <c r="N17">
        <v>84500000</v>
      </c>
    </row>
    <row r="18" spans="1:14" x14ac:dyDescent="0.25">
      <c r="D18">
        <v>53101</v>
      </c>
      <c r="E18">
        <f>D18+D19</f>
        <v>65417</v>
      </c>
      <c r="G18">
        <v>1421</v>
      </c>
      <c r="H18">
        <v>5000</v>
      </c>
      <c r="N18">
        <f>N16/N17</f>
        <v>1.4825937515447267</v>
      </c>
    </row>
    <row r="19" spans="1:14" x14ac:dyDescent="0.25">
      <c r="A19">
        <f>SUM(572504+26813+91)*0.1+572504*0.1</f>
        <v>117191.20000000001</v>
      </c>
      <c r="D19">
        <v>12316</v>
      </c>
      <c r="E19">
        <v>34000</v>
      </c>
      <c r="G19">
        <f>D18+D19</f>
        <v>65417</v>
      </c>
      <c r="H19">
        <v>65417</v>
      </c>
    </row>
    <row r="20" spans="1:14" x14ac:dyDescent="0.25">
      <c r="D20">
        <v>20050</v>
      </c>
      <c r="E20" s="111">
        <f>E19/E18</f>
        <v>0.51974257456012962</v>
      </c>
      <c r="G20" s="123">
        <f>G18/G19</f>
        <v>2.17221823073513E-2</v>
      </c>
      <c r="H20" s="123">
        <f>H18/H19</f>
        <v>7.6432731552960237E-2</v>
      </c>
    </row>
    <row r="21" spans="1:14" x14ac:dyDescent="0.25">
      <c r="A21">
        <v>2340</v>
      </c>
      <c r="D21" s="111">
        <f>D20/SUM(D18:D20)</f>
        <v>0.23459346882422455</v>
      </c>
    </row>
    <row r="22" spans="1:14" x14ac:dyDescent="0.25">
      <c r="A22" s="117">
        <f>467/A21*100</f>
        <v>19.957264957264957</v>
      </c>
    </row>
    <row r="24" spans="1:14" x14ac:dyDescent="0.25">
      <c r="A24">
        <v>3380569</v>
      </c>
      <c r="D24">
        <f>2242/D20</f>
        <v>0.11182044887780548</v>
      </c>
    </row>
    <row r="26" spans="1:14" x14ac:dyDescent="0.25">
      <c r="A26" s="118">
        <v>18750</v>
      </c>
      <c r="D26" s="112">
        <v>46000000</v>
      </c>
    </row>
    <row r="27" spans="1:14" x14ac:dyDescent="0.25">
      <c r="A27" s="118">
        <v>6000</v>
      </c>
      <c r="D27" s="112">
        <v>44000</v>
      </c>
    </row>
    <row r="28" spans="1:14" x14ac:dyDescent="0.25">
      <c r="A28" s="119">
        <v>335</v>
      </c>
      <c r="D28" s="112">
        <f>D26/D27</f>
        <v>1045.4545454545455</v>
      </c>
      <c r="E28">
        <f>D28*1.15</f>
        <v>1202.2727272727273</v>
      </c>
    </row>
    <row r="30" spans="1:14" x14ac:dyDescent="0.25">
      <c r="A30" s="118">
        <v>25000000</v>
      </c>
      <c r="D30" s="112">
        <v>83000000</v>
      </c>
    </row>
    <row r="31" spans="1:14" x14ac:dyDescent="0.25">
      <c r="A31" s="118">
        <v>23000000</v>
      </c>
      <c r="D31" s="112">
        <v>90000</v>
      </c>
    </row>
    <row r="32" spans="1:14" x14ac:dyDescent="0.25">
      <c r="A32" s="120">
        <v>8354271.2000000002</v>
      </c>
      <c r="D32">
        <f>D30/D31</f>
        <v>922.22222222222217</v>
      </c>
      <c r="F32">
        <v>20000</v>
      </c>
      <c r="G32">
        <v>10000</v>
      </c>
      <c r="H32" s="123">
        <f>F32*0.9/F33</f>
        <v>5.3245474356535842E-3</v>
      </c>
    </row>
    <row r="33" spans="1:9" x14ac:dyDescent="0.25">
      <c r="A33" s="121">
        <v>56354271.200000003</v>
      </c>
      <c r="F33">
        <v>3380569</v>
      </c>
      <c r="G33">
        <v>3380569</v>
      </c>
    </row>
    <row r="34" spans="1:9" x14ac:dyDescent="0.25">
      <c r="D34">
        <v>618</v>
      </c>
      <c r="F34" s="123">
        <f>F32/F33</f>
        <v>5.9161638173928707E-3</v>
      </c>
      <c r="G34" s="123">
        <f>G32/G33</f>
        <v>2.9580819086964354E-3</v>
      </c>
    </row>
    <row r="35" spans="1:9" x14ac:dyDescent="0.25">
      <c r="D35">
        <v>2500</v>
      </c>
    </row>
    <row r="36" spans="1:9" x14ac:dyDescent="0.25">
      <c r="D36" s="111">
        <f>D34/D35</f>
        <v>0.2472</v>
      </c>
    </row>
    <row r="45" spans="1:9" x14ac:dyDescent="0.25">
      <c r="C45">
        <v>68</v>
      </c>
    </row>
    <row r="46" spans="1:9" x14ac:dyDescent="0.25">
      <c r="C46">
        <v>67</v>
      </c>
      <c r="I46">
        <v>48142</v>
      </c>
    </row>
    <row r="47" spans="1:9" x14ac:dyDescent="0.25">
      <c r="C47">
        <v>65</v>
      </c>
      <c r="I47">
        <v>18271</v>
      </c>
    </row>
    <row r="48" spans="1:9" x14ac:dyDescent="0.25">
      <c r="C48">
        <v>70</v>
      </c>
      <c r="I48">
        <f>I47/I46*100</f>
        <v>37.952307756221174</v>
      </c>
    </row>
    <row r="49" spans="3:3" x14ac:dyDescent="0.25">
      <c r="C49">
        <f>AVERAGE(C45:C48)</f>
        <v>67.5</v>
      </c>
    </row>
  </sheetData>
  <customSheetViews>
    <customSheetView guid="{6BEE494D-3BDB-46C2-9750-A57C1F94B9B8}" state="hidden">
      <selection activeCell="N18" sqref="N18"/>
      <pageMargins left="0.7" right="0.7" top="0.75" bottom="0.75" header="0.3" footer="0.3"/>
      <pageSetup paperSize="9" orientation="portrait" horizontalDpi="0" verticalDpi="0" r:id="rId1"/>
    </customSheetView>
    <customSheetView guid="{B426F9F8-EB1A-4D7B-9478-7E22D414CC12}" state="hidden">
      <selection activeCell="N18" sqref="N18"/>
      <pageMargins left="0.7" right="0.7" top="0.75" bottom="0.75" header="0.3" footer="0.3"/>
      <pageSetup paperSize="9" orientation="portrait" horizontalDpi="0" verticalDpi="0" r:id="rId2"/>
    </customSheetView>
    <customSheetView guid="{13EBDE9D-EC74-4522-9EED-363E735B4A78}" state="hidden">
      <selection activeCell="N18" sqref="N18"/>
      <pageMargins left="0.7" right="0.7" top="0.75" bottom="0.75" header="0.3" footer="0.3"/>
      <pageSetup paperSize="9" orientation="portrait" horizontalDpi="0" verticalDpi="0" r:id="rId3"/>
    </customSheetView>
    <customSheetView guid="{F67C426D-26F1-4B15-961D-40AFD17A9EE3}" state="hidden">
      <selection activeCell="N18" sqref="N18"/>
      <pageMargins left="0.7" right="0.7" top="0.75" bottom="0.75" header="0.3" footer="0.3"/>
      <pageSetup paperSize="9" orientation="portrait" horizontalDpi="0" verticalDpi="0" r:id="rId4"/>
    </customSheetView>
    <customSheetView guid="{B777B674-73ED-4225-A0AA-917FDFF5A819}" state="hidden">
      <selection activeCell="N18" sqref="N18"/>
      <pageMargins left="0.7" right="0.7" top="0.75" bottom="0.75" header="0.3" footer="0.3"/>
      <pageSetup paperSize="9" orientation="portrait" horizontalDpi="0" verticalDpi="0" r:id="rId5"/>
    </customSheetView>
    <customSheetView guid="{DE1004AE-EE6B-445B-9B87-77176E699CEC}" state="hidden">
      <selection activeCell="N18" sqref="N18"/>
      <pageMargins left="0.7" right="0.7" top="0.75" bottom="0.75" header="0.3" footer="0.3"/>
      <pageSetup paperSize="9" orientation="portrait" horizontalDpi="0" verticalDpi="0" r:id="rId6"/>
    </customSheetView>
    <customSheetView guid="{7FBA698A-B4F9-473C-A697-22EC99EC7386}" state="hidden">
      <selection activeCell="N18" sqref="N18"/>
      <pageMargins left="0.7" right="0.7" top="0.75" bottom="0.75" header="0.3" footer="0.3"/>
      <pageSetup paperSize="9" orientation="portrait" horizontalDpi="0" verticalDpi="0" r:id="rId7"/>
    </customSheetView>
    <customSheetView guid="{53CF95D2-2F99-49E8-AB7F-7627DCDE0DC8}" state="hidden">
      <selection activeCell="N18" sqref="N18"/>
      <pageMargins left="0.7" right="0.7" top="0.75" bottom="0.75" header="0.3" footer="0.3"/>
      <pageSetup paperSize="9" orientation="portrait" horizontalDpi="0" verticalDpi="0" r:id="rId8"/>
    </customSheetView>
    <customSheetView guid="{AD504361-49F3-4986-BDBF-FB73E2299976}" state="hidden">
      <selection activeCell="N18" sqref="N18"/>
      <pageMargins left="0.7" right="0.7" top="0.75" bottom="0.75" header="0.3" footer="0.3"/>
      <pageSetup paperSize="9" orientation="portrait" horizontalDpi="0" verticalDpi="0" r:id="rId9"/>
    </customSheetView>
    <customSheetView guid="{DD0EA6D3-BC8C-40D3-B12F-B88059C8E3DC}" state="hidden">
      <selection activeCell="N18" sqref="N18"/>
      <pageMargins left="0.7" right="0.7" top="0.75" bottom="0.75" header="0.3" footer="0.3"/>
      <pageSetup paperSize="9" orientation="portrait" horizontalDpi="0" verticalDpi="0" r:id="rId10"/>
    </customSheetView>
    <customSheetView guid="{72B67681-E295-44ED-80A6-F4B618B242B1}" state="hidden">
      <selection activeCell="N18" sqref="N18"/>
    </customSheetView>
    <customSheetView guid="{9CD5F6CE-0E1C-42DA-A598-93523B740CBC}" state="hidden">
      <selection activeCell="N18" sqref="N18"/>
      <pageMargins left="0.7" right="0.7" top="0.75" bottom="0.75" header="0.3" footer="0.3"/>
      <pageSetup paperSize="9" orientation="portrait" horizontalDpi="0" verticalDpi="0" r:id="rId11"/>
    </customSheetView>
    <customSheetView guid="{E07B67F4-8A17-4050-B9B8-81977BCB02E2}" state="hidden">
      <selection activeCell="N18" sqref="N18"/>
      <pageMargins left="0.7" right="0.7" top="0.75" bottom="0.75" header="0.3" footer="0.3"/>
      <pageSetup paperSize="9" orientation="portrait" horizontalDpi="0" verticalDpi="0" r:id="rId12"/>
    </customSheetView>
    <customSheetView guid="{2A6315F5-C9A2-43A7-B337-00FD30A3EB26}" state="hidden">
      <selection activeCell="N18" sqref="N18"/>
      <pageMargins left="0.7" right="0.7" top="0.75" bottom="0.75" header="0.3" footer="0.3"/>
      <pageSetup paperSize="9" orientation="portrait" horizontalDpi="0" verticalDpi="0" r:id="rId13"/>
    </customSheetView>
    <customSheetView guid="{D1BD168D-40B4-46AB-88B7-64C22520CFA0}" state="hidden">
      <selection activeCell="N18" sqref="N18"/>
      <pageMargins left="0.7" right="0.7" top="0.75" bottom="0.75" header="0.3" footer="0.3"/>
      <pageSetup paperSize="9" orientation="portrait" horizontalDpi="0" verticalDpi="0" r:id="rId14"/>
    </customSheetView>
    <customSheetView guid="{56BC42A3-D967-4F27-BD5A-CB0B8CB7F657}" state="hidden">
      <selection activeCell="N18" sqref="N18"/>
      <pageMargins left="0.7" right="0.7" top="0.75" bottom="0.75" header="0.3" footer="0.3"/>
      <pageSetup paperSize="9" orientation="portrait" horizontalDpi="0" verticalDpi="0" r:id="rId15"/>
    </customSheetView>
    <customSheetView guid="{DE419AE1-55C7-41E8-9A94-E4062EF30970}" state="hidden">
      <selection activeCell="N18" sqref="N18"/>
      <pageMargins left="0.7" right="0.7" top="0.75" bottom="0.75" header="0.3" footer="0.3"/>
      <pageSetup paperSize="9" orientation="portrait" horizontalDpi="0" verticalDpi="0" r:id="rId16"/>
    </customSheetView>
    <customSheetView guid="{6B77031E-918C-40F9-A42D-E4EA46622624}" state="hidden">
      <selection activeCell="N18" sqref="N18"/>
      <pageMargins left="0.7" right="0.7" top="0.75" bottom="0.75" header="0.3" footer="0.3"/>
      <pageSetup paperSize="9" orientation="portrait" horizontalDpi="0" verticalDpi="0" r:id="rId17"/>
    </customSheetView>
    <customSheetView guid="{77799D3C-38E2-410A-80FA-AECD8E6AB89B}" state="hidden">
      <selection activeCell="N18" sqref="N18"/>
      <pageMargins left="0.7" right="0.7" top="0.75" bottom="0.75" header="0.3" footer="0.3"/>
      <pageSetup paperSize="9" orientation="portrait" horizontalDpi="0" verticalDpi="0" r:id="rId18"/>
    </customSheetView>
    <customSheetView guid="{32A281B9-28FB-4D0E-8C01-BFBADAC8C3C9}" state="hidden">
      <selection activeCell="N18" sqref="N18"/>
      <pageMargins left="0.7" right="0.7" top="0.75" bottom="0.75" header="0.3" footer="0.3"/>
      <pageSetup paperSize="9" orientation="portrait" horizontalDpi="0" verticalDpi="0" r:id="rId19"/>
    </customSheetView>
  </customSheetViews>
  <pageMargins left="0.7" right="0.7" top="0.75" bottom="0.75" header="0.3" footer="0.3"/>
  <pageSetup paperSize="9" orientation="portrait" horizontalDpi="0" verticalDpi="0"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L16"/>
  <sheetViews>
    <sheetView view="pageBreakPreview" zoomScale="85" zoomScaleNormal="100" zoomScaleSheetLayoutView="85" workbookViewId="0">
      <pane ySplit="2" topLeftCell="A9" activePane="bottomLeft" state="frozen"/>
      <selection pane="bottomLeft" activeCell="C3" sqref="C3:C16"/>
    </sheetView>
  </sheetViews>
  <sheetFormatPr defaultColWidth="21.42578125" defaultRowHeight="12" x14ac:dyDescent="0.25"/>
  <cols>
    <col min="1" max="1" width="16.42578125" style="2" customWidth="1"/>
    <col min="2" max="2" width="14" style="2" customWidth="1"/>
    <col min="3" max="3" width="17.28515625" style="2" customWidth="1"/>
    <col min="4" max="4" width="14.28515625" style="2" bestFit="1" customWidth="1"/>
    <col min="5" max="5" width="44.28515625" style="2" customWidth="1"/>
    <col min="6" max="6" width="41.5703125" style="2" customWidth="1"/>
    <col min="7" max="8" width="14.7109375" style="4" customWidth="1"/>
    <col min="9" max="9" width="36.28515625" style="2" customWidth="1"/>
    <col min="10" max="10" width="10.7109375" style="36" customWidth="1"/>
    <col min="11" max="11" width="34.28515625" style="2" customWidth="1"/>
    <col min="12" max="12" width="7.5703125" style="4" customWidth="1"/>
    <col min="13" max="16384" width="21.42578125" style="2"/>
  </cols>
  <sheetData>
    <row r="1" spans="1:12" s="4" customFormat="1" x14ac:dyDescent="0.25">
      <c r="A1" s="14">
        <v>2</v>
      </c>
      <c r="B1" s="14">
        <v>3</v>
      </c>
      <c r="C1" s="14">
        <v>6</v>
      </c>
      <c r="D1" s="14">
        <v>7</v>
      </c>
      <c r="E1" s="14">
        <v>8</v>
      </c>
      <c r="F1" s="14"/>
      <c r="G1" s="14"/>
      <c r="H1" s="14"/>
      <c r="I1" s="14">
        <v>9</v>
      </c>
      <c r="J1" s="26"/>
      <c r="K1" s="14">
        <v>10</v>
      </c>
      <c r="L1" s="14"/>
    </row>
    <row r="2" spans="1:12" s="3" customFormat="1" ht="72" x14ac:dyDescent="0.25">
      <c r="A2" s="1" t="s">
        <v>162</v>
      </c>
      <c r="B2" s="1" t="s">
        <v>163</v>
      </c>
      <c r="C2" s="1" t="s">
        <v>164</v>
      </c>
      <c r="D2" s="1" t="s">
        <v>165</v>
      </c>
      <c r="E2" s="1" t="s">
        <v>166</v>
      </c>
      <c r="F2" s="1" t="s">
        <v>167</v>
      </c>
      <c r="G2" s="1" t="s">
        <v>168</v>
      </c>
      <c r="H2" s="1" t="s">
        <v>169</v>
      </c>
      <c r="I2" s="14" t="s">
        <v>170</v>
      </c>
      <c r="J2" s="27" t="s">
        <v>171</v>
      </c>
      <c r="K2" s="1" t="s">
        <v>172</v>
      </c>
      <c r="L2" s="14" t="s">
        <v>173</v>
      </c>
    </row>
    <row r="3" spans="1:12" ht="108" x14ac:dyDescent="0.25">
      <c r="A3" s="478" t="s">
        <v>174</v>
      </c>
      <c r="B3" s="478" t="s">
        <v>175</v>
      </c>
      <c r="C3" s="481" t="s">
        <v>176</v>
      </c>
      <c r="D3" s="478" t="s">
        <v>177</v>
      </c>
      <c r="E3" s="22" t="s">
        <v>178</v>
      </c>
      <c r="F3" s="19" t="s">
        <v>179</v>
      </c>
      <c r="G3" s="78">
        <f>G5-G4</f>
        <v>83218211.999999955</v>
      </c>
      <c r="H3" s="78">
        <f>20/100*G3</f>
        <v>16643642.399999991</v>
      </c>
      <c r="I3" s="8" t="s">
        <v>180</v>
      </c>
      <c r="J3" s="30">
        <f>80/100*60/100*G5</f>
        <v>45391751.999999978</v>
      </c>
      <c r="K3" s="9" t="s">
        <v>181</v>
      </c>
      <c r="L3" s="88">
        <f>(224+93)/14*1.15*15</f>
        <v>390.58928571428567</v>
      </c>
    </row>
    <row r="4" spans="1:12" ht="60" customHeight="1" x14ac:dyDescent="0.25">
      <c r="A4" s="479"/>
      <c r="B4" s="479"/>
      <c r="C4" s="482"/>
      <c r="D4" s="479"/>
      <c r="E4" s="6"/>
      <c r="F4" s="6" t="s">
        <v>182</v>
      </c>
      <c r="G4" s="78">
        <f>20/100*60/100*G5</f>
        <v>11347937.999999994</v>
      </c>
      <c r="H4" s="78"/>
      <c r="I4" s="42"/>
      <c r="J4" s="85">
        <f>60/100*G5-J3-G4</f>
        <v>0</v>
      </c>
      <c r="K4" s="9"/>
      <c r="L4" s="38"/>
    </row>
    <row r="5" spans="1:12" x14ac:dyDescent="0.25">
      <c r="A5" s="479"/>
      <c r="B5" s="479"/>
      <c r="C5" s="482"/>
      <c r="D5" s="479"/>
      <c r="E5" s="8"/>
      <c r="F5" s="41" t="s">
        <v>183</v>
      </c>
      <c r="G5" s="82">
        <f>60/100*'ОПНО_визия евро'!C5</f>
        <v>94566149.999999955</v>
      </c>
      <c r="H5" s="78"/>
      <c r="I5" s="7"/>
      <c r="J5" s="31"/>
      <c r="K5" s="9"/>
      <c r="L5" s="39"/>
    </row>
    <row r="6" spans="1:12" ht="82.5" customHeight="1" x14ac:dyDescent="0.25">
      <c r="A6" s="479"/>
      <c r="B6" s="479"/>
      <c r="C6" s="482"/>
      <c r="D6" s="479"/>
      <c r="E6" s="24" t="s">
        <v>184</v>
      </c>
      <c r="F6" s="17" t="s">
        <v>185</v>
      </c>
      <c r="G6" s="82">
        <f>30/100*'ОПНО_визия евро'!C5</f>
        <v>47283074.999999978</v>
      </c>
      <c r="H6" s="82">
        <f>'ОПНО_визия евро'!B5-П3_Наука_Инфраструктура!H3-П3_Наука_Инфраструктура!H11</f>
        <v>5421792.6000000015</v>
      </c>
      <c r="I6" s="21" t="s">
        <v>186</v>
      </c>
      <c r="J6" s="32">
        <f>(210+359)/14*1.15*15</f>
        <v>701.08928571428567</v>
      </c>
      <c r="K6" s="9" t="s">
        <v>187</v>
      </c>
      <c r="L6" s="28">
        <f>(30+224)/14*1.15*15</f>
        <v>312.96428571428567</v>
      </c>
    </row>
    <row r="7" spans="1:12" ht="36" x14ac:dyDescent="0.25">
      <c r="A7" s="479"/>
      <c r="B7" s="479"/>
      <c r="C7" s="482"/>
      <c r="D7" s="480"/>
      <c r="E7" s="24" t="s">
        <v>188</v>
      </c>
      <c r="F7" s="19"/>
      <c r="G7" s="29"/>
      <c r="H7" s="29"/>
      <c r="I7" s="23" t="s">
        <v>189</v>
      </c>
      <c r="J7" s="33">
        <v>15</v>
      </c>
      <c r="K7" s="9"/>
      <c r="L7" s="37"/>
    </row>
    <row r="8" spans="1:12" ht="60" x14ac:dyDescent="0.25">
      <c r="A8" s="479"/>
      <c r="B8" s="479"/>
      <c r="C8" s="482"/>
      <c r="D8" s="480"/>
      <c r="E8" s="19" t="s">
        <v>190</v>
      </c>
      <c r="F8" s="19"/>
      <c r="G8" s="29"/>
      <c r="H8" s="29"/>
      <c r="I8" s="21"/>
      <c r="J8" s="34"/>
      <c r="K8" s="9"/>
      <c r="L8" s="39"/>
    </row>
    <row r="9" spans="1:12" ht="60" x14ac:dyDescent="0.25">
      <c r="A9" s="479"/>
      <c r="B9" s="479"/>
      <c r="C9" s="482"/>
      <c r="D9" s="480"/>
      <c r="E9" s="19" t="s">
        <v>191</v>
      </c>
      <c r="F9" s="19"/>
      <c r="G9" s="29"/>
      <c r="H9" s="29"/>
      <c r="I9" s="21"/>
      <c r="J9" s="34"/>
      <c r="K9" s="9"/>
      <c r="L9" s="39"/>
    </row>
    <row r="10" spans="1:12" ht="60" x14ac:dyDescent="0.25">
      <c r="A10" s="479"/>
      <c r="B10" s="479"/>
      <c r="C10" s="482"/>
      <c r="D10" s="480"/>
      <c r="E10" s="20" t="s">
        <v>192</v>
      </c>
      <c r="F10" s="19"/>
      <c r="G10" s="29"/>
      <c r="H10" s="22"/>
      <c r="I10" s="21"/>
      <c r="J10" s="35"/>
      <c r="K10" s="9"/>
      <c r="L10" s="38"/>
    </row>
    <row r="11" spans="1:12" ht="48" x14ac:dyDescent="0.25">
      <c r="A11" s="479"/>
      <c r="B11" s="479"/>
      <c r="C11" s="482"/>
      <c r="D11" s="480"/>
      <c r="E11" s="24" t="s">
        <v>193</v>
      </c>
      <c r="F11" s="17" t="s">
        <v>194</v>
      </c>
      <c r="G11" s="82">
        <f>10/100*'ОПНО_визия евро'!C5</f>
        <v>15761024.999999994</v>
      </c>
      <c r="H11" s="83">
        <f>60/100*G11</f>
        <v>9456614.9999999963</v>
      </c>
      <c r="I11" s="15" t="s">
        <v>195</v>
      </c>
      <c r="J11" s="35">
        <f>15*3</f>
        <v>45</v>
      </c>
      <c r="K11" s="9" t="s">
        <v>196</v>
      </c>
      <c r="L11" s="88">
        <f>50/100*L6</f>
        <v>156.48214285714283</v>
      </c>
    </row>
    <row r="12" spans="1:12" ht="24" x14ac:dyDescent="0.25">
      <c r="A12" s="479"/>
      <c r="B12" s="479"/>
      <c r="C12" s="482"/>
      <c r="D12" s="480"/>
      <c r="E12" s="19" t="s">
        <v>197</v>
      </c>
      <c r="F12" s="19"/>
      <c r="G12" s="29"/>
      <c r="H12" s="40"/>
      <c r="I12" s="16"/>
      <c r="J12" s="33"/>
      <c r="K12" s="9"/>
      <c r="L12" s="39"/>
    </row>
    <row r="13" spans="1:12" ht="84" x14ac:dyDescent="0.25">
      <c r="A13" s="479"/>
      <c r="B13" s="479"/>
      <c r="C13" s="482"/>
      <c r="D13" s="480"/>
      <c r="E13" s="19" t="s">
        <v>198</v>
      </c>
      <c r="F13" s="19"/>
      <c r="G13" s="29"/>
      <c r="H13" s="40"/>
      <c r="I13" s="21"/>
      <c r="J13" s="34"/>
      <c r="K13" s="9"/>
      <c r="L13" s="39"/>
    </row>
    <row r="14" spans="1:12" x14ac:dyDescent="0.25">
      <c r="A14" s="479"/>
      <c r="B14" s="479"/>
      <c r="C14" s="482"/>
      <c r="D14" s="480"/>
      <c r="E14" s="19" t="s">
        <v>199</v>
      </c>
      <c r="F14" s="19"/>
      <c r="G14" s="29"/>
      <c r="H14" s="40"/>
      <c r="I14" s="21"/>
      <c r="J14" s="34"/>
      <c r="K14" s="9"/>
      <c r="L14" s="39"/>
    </row>
    <row r="15" spans="1:12" x14ac:dyDescent="0.25">
      <c r="A15" s="479"/>
      <c r="B15" s="479"/>
      <c r="C15" s="482"/>
      <c r="D15" s="480"/>
      <c r="E15" s="18" t="s">
        <v>200</v>
      </c>
      <c r="F15" s="81"/>
      <c r="G15" s="39"/>
      <c r="H15" s="84"/>
      <c r="I15" s="25"/>
      <c r="J15" s="34"/>
      <c r="K15" s="9"/>
      <c r="L15" s="38"/>
    </row>
    <row r="16" spans="1:12" ht="48" x14ac:dyDescent="0.25">
      <c r="A16" s="483"/>
      <c r="B16" s="483"/>
      <c r="C16" s="482"/>
      <c r="D16" s="479"/>
      <c r="E16" s="79" t="s">
        <v>201</v>
      </c>
      <c r="F16" s="20"/>
      <c r="G16" s="22"/>
      <c r="H16" s="80"/>
      <c r="I16" s="25" t="s">
        <v>202</v>
      </c>
      <c r="J16" s="32">
        <f>15*1</f>
        <v>15</v>
      </c>
      <c r="K16" s="9"/>
      <c r="L16" s="39"/>
    </row>
  </sheetData>
  <customSheetViews>
    <customSheetView guid="{6BEE494D-3BDB-46C2-9750-A57C1F94B9B8}"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
    </customSheetView>
    <customSheetView guid="{B426F9F8-EB1A-4D7B-9478-7E22D414CC1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2"/>
    </customSheetView>
    <customSheetView guid="{13EBDE9D-EC74-4522-9EED-363E735B4A78}"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3"/>
    </customSheetView>
    <customSheetView guid="{F67C426D-26F1-4B15-961D-40AFD17A9EE3}"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4"/>
    </customSheetView>
    <customSheetView guid="{B777B674-73ED-4225-A0AA-917FDFF5A819}"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5"/>
    </customSheetView>
    <customSheetView guid="{DE1004AE-EE6B-445B-9B87-77176E699CE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6"/>
    </customSheetView>
    <customSheetView guid="{7FBA698A-B4F9-473C-A697-22EC99EC738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7"/>
    </customSheetView>
    <customSheetView guid="{53CF95D2-2F99-49E8-AB7F-7627DCDE0DC8}"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8"/>
    </customSheetView>
    <customSheetView guid="{AD504361-49F3-4986-BDBF-FB73E229997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9"/>
    </customSheetView>
    <customSheetView guid="{DD0EA6D3-BC8C-40D3-B12F-B88059C8E3D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0"/>
    </customSheetView>
    <customSheetView guid="{72B67681-E295-44ED-80A6-F4B618B242B1}" scale="85" showPageBreaks="1" state="hidden" view="pageBreakPreview">
      <pane ySplit="2" topLeftCell="A9" activePane="bottomLeft" state="frozen"/>
      <selection pane="bottomLeft" activeCell="C3" sqref="C3:C16"/>
    </customSheetView>
    <customSheetView guid="{9CD5F6CE-0E1C-42DA-A598-93523B740CB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1"/>
    </customSheetView>
    <customSheetView guid="{E07B67F4-8A17-4050-B9B8-81977BCB02E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2"/>
    </customSheetView>
    <customSheetView guid="{2A6315F5-C9A2-43A7-B337-00FD30A3EB2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3"/>
    </customSheetView>
    <customSheetView guid="{D1BD168D-40B4-46AB-88B7-64C22520CFA0}"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4"/>
    </customSheetView>
    <customSheetView guid="{56BC42A3-D967-4F27-BD5A-CB0B8CB7F657}"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5"/>
    </customSheetView>
    <customSheetView guid="{DE419AE1-55C7-41E8-9A94-E4062EF30970}"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6"/>
    </customSheetView>
    <customSheetView guid="{6B77031E-918C-40F9-A42D-E4EA46622624}"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7"/>
    </customSheetView>
    <customSheetView guid="{77799D3C-38E2-410A-80FA-AECD8E6AB89B}"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8"/>
    </customSheetView>
    <customSheetView guid="{32A281B9-28FB-4D0E-8C01-BFBADAC8C3C9}"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9"/>
    </customSheetView>
  </customSheetViews>
  <mergeCells count="4">
    <mergeCell ref="D3:D16"/>
    <mergeCell ref="C3:C16"/>
    <mergeCell ref="B3:B16"/>
    <mergeCell ref="A3:A16"/>
  </mergeCells>
  <pageMargins left="0.7" right="0.7" top="0.75" bottom="0.75" header="0.3" footer="0.3"/>
  <pageSetup paperSize="9" scale="49" orientation="landscape"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21"/>
  <sheetViews>
    <sheetView view="pageBreakPreview" zoomScale="90" zoomScaleNormal="100" zoomScaleSheetLayoutView="90" workbookViewId="0">
      <pane ySplit="2" topLeftCell="A3" activePane="bottomLeft" state="frozen"/>
      <selection pane="bottomLeft" activeCell="C3" sqref="C3:C13"/>
    </sheetView>
  </sheetViews>
  <sheetFormatPr defaultColWidth="21.42578125" defaultRowHeight="15" x14ac:dyDescent="0.25"/>
  <cols>
    <col min="1" max="1" width="84.28515625" style="2" bestFit="1" customWidth="1"/>
    <col min="2" max="2" width="22" style="2" bestFit="1" customWidth="1"/>
    <col min="3" max="3" width="12.7109375" style="2" bestFit="1" customWidth="1"/>
    <col min="4" max="4" width="21.28515625" style="2" bestFit="1" customWidth="1"/>
    <col min="5" max="5" width="51.5703125" style="2" bestFit="1" customWidth="1"/>
    <col min="6" max="6" width="47.28515625" style="2" bestFit="1" customWidth="1"/>
    <col min="7" max="7" width="13.7109375" style="2" customWidth="1"/>
    <col min="8" max="8" width="12.7109375" style="2" customWidth="1"/>
    <col min="9" max="9" width="31" style="2" bestFit="1" customWidth="1"/>
    <col min="10" max="10" width="9" style="2" bestFit="1" customWidth="1"/>
    <col min="11" max="11" width="22.7109375" style="2" bestFit="1" customWidth="1"/>
    <col min="12" max="12" width="9" style="2" bestFit="1" customWidth="1"/>
    <col min="13" max="13" width="21.28515625" style="2" customWidth="1"/>
    <col min="14" max="14" width="21.42578125" style="5"/>
    <col min="15" max="16384" width="21.42578125" style="2"/>
  </cols>
  <sheetData>
    <row r="1" spans="1:14" s="4" customFormat="1" ht="12" x14ac:dyDescent="0.25">
      <c r="A1" s="1">
        <v>2</v>
      </c>
      <c r="B1" s="1">
        <v>3</v>
      </c>
      <c r="C1" s="1">
        <v>6</v>
      </c>
      <c r="D1" s="1">
        <v>7</v>
      </c>
      <c r="E1" s="1">
        <v>8</v>
      </c>
      <c r="F1" s="1">
        <v>9</v>
      </c>
      <c r="G1" s="1">
        <v>10</v>
      </c>
      <c r="H1" s="1"/>
      <c r="I1" s="1">
        <v>11</v>
      </c>
      <c r="J1" s="1">
        <v>12</v>
      </c>
      <c r="K1" s="1">
        <v>13</v>
      </c>
      <c r="L1" s="1">
        <v>14</v>
      </c>
      <c r="M1" s="1">
        <v>15</v>
      </c>
    </row>
    <row r="2" spans="1:14" s="4" customFormat="1" ht="72" x14ac:dyDescent="0.25">
      <c r="A2" s="1" t="s">
        <v>203</v>
      </c>
      <c r="B2" s="1" t="s">
        <v>204</v>
      </c>
      <c r="C2" s="1" t="s">
        <v>205</v>
      </c>
      <c r="D2" s="1" t="s">
        <v>206</v>
      </c>
      <c r="E2" s="1" t="s">
        <v>207</v>
      </c>
      <c r="F2" s="1" t="s">
        <v>208</v>
      </c>
      <c r="G2" s="1" t="s">
        <v>209</v>
      </c>
      <c r="H2" s="1" t="s">
        <v>210</v>
      </c>
      <c r="I2" s="1" t="s">
        <v>211</v>
      </c>
      <c r="J2" s="1" t="s">
        <v>212</v>
      </c>
      <c r="K2" s="14" t="s">
        <v>213</v>
      </c>
      <c r="L2" s="14" t="s">
        <v>214</v>
      </c>
      <c r="M2" s="14" t="s">
        <v>215</v>
      </c>
    </row>
    <row r="3" spans="1:14" ht="72" customHeight="1" x14ac:dyDescent="0.25">
      <c r="A3" s="484" t="s">
        <v>216</v>
      </c>
      <c r="B3" s="493" t="s">
        <v>217</v>
      </c>
      <c r="C3" s="490" t="s">
        <v>218</v>
      </c>
      <c r="D3" s="487" t="str">
        <f>П3_Наука_Инфраструктура!$D$3</f>
        <v>Специфична цел i) Засилване на капацитета за научни изследвания и иновации и на въвеждането на модерни технологии</v>
      </c>
      <c r="E3" s="24" t="s">
        <v>219</v>
      </c>
      <c r="F3" s="17" t="s">
        <v>220</v>
      </c>
      <c r="G3" s="82">
        <f>G14-G8</f>
        <v>63044099.999999985</v>
      </c>
      <c r="H3" s="82">
        <f>20/100*G14-H8</f>
        <v>1801260</v>
      </c>
      <c r="I3" s="21" t="s">
        <v>221</v>
      </c>
      <c r="J3" s="102">
        <f>G14/70*100/3500000*10</f>
        <v>367.60408163265299</v>
      </c>
      <c r="K3" s="103" t="s">
        <v>222</v>
      </c>
      <c r="L3" s="104">
        <f>H20</f>
        <v>233.42859183673463</v>
      </c>
      <c r="M3" s="481" t="s">
        <v>223</v>
      </c>
      <c r="N3" s="2"/>
    </row>
    <row r="4" spans="1:14" ht="36" x14ac:dyDescent="0.25">
      <c r="A4" s="480"/>
      <c r="B4" s="494"/>
      <c r="C4" s="491"/>
      <c r="D4" s="488"/>
      <c r="E4" s="24" t="s">
        <v>224</v>
      </c>
      <c r="F4" s="19"/>
      <c r="G4" s="29"/>
      <c r="H4" s="29"/>
      <c r="I4" s="23" t="s">
        <v>225</v>
      </c>
      <c r="J4" s="100">
        <v>15</v>
      </c>
      <c r="K4" s="81"/>
      <c r="L4" s="105"/>
      <c r="M4" s="482"/>
      <c r="N4" s="2"/>
    </row>
    <row r="5" spans="1:14" ht="24" x14ac:dyDescent="0.25">
      <c r="A5" s="480"/>
      <c r="B5" s="494"/>
      <c r="C5" s="491"/>
      <c r="D5" s="488"/>
      <c r="E5" s="19" t="s">
        <v>226</v>
      </c>
      <c r="F5" s="19"/>
      <c r="G5" s="29"/>
      <c r="H5" s="29"/>
      <c r="I5" s="21"/>
      <c r="J5" s="101"/>
      <c r="K5" s="81"/>
      <c r="L5" s="105"/>
      <c r="M5" s="482"/>
      <c r="N5" s="2"/>
    </row>
    <row r="6" spans="1:14" ht="48" x14ac:dyDescent="0.25">
      <c r="A6" s="480"/>
      <c r="B6" s="494"/>
      <c r="C6" s="491"/>
      <c r="D6" s="488"/>
      <c r="E6" s="19" t="s">
        <v>227</v>
      </c>
      <c r="F6" s="19"/>
      <c r="G6" s="29"/>
      <c r="H6" s="29"/>
      <c r="I6" s="21"/>
      <c r="J6" s="101"/>
      <c r="K6" s="81"/>
      <c r="L6" s="105"/>
      <c r="M6" s="482"/>
      <c r="N6" s="2"/>
    </row>
    <row r="7" spans="1:14" ht="48" x14ac:dyDescent="0.25">
      <c r="A7" s="480"/>
      <c r="B7" s="494"/>
      <c r="C7" s="491"/>
      <c r="D7" s="488"/>
      <c r="E7" s="20" t="s">
        <v>228</v>
      </c>
      <c r="F7" s="19"/>
      <c r="G7" s="29"/>
      <c r="H7" s="22"/>
      <c r="I7" s="21"/>
      <c r="J7" s="99"/>
      <c r="K7" s="18"/>
      <c r="L7" s="105"/>
      <c r="M7" s="482"/>
      <c r="N7" s="2"/>
    </row>
    <row r="8" spans="1:14" ht="36" x14ac:dyDescent="0.25">
      <c r="A8" s="480"/>
      <c r="B8" s="494"/>
      <c r="C8" s="491"/>
      <c r="D8" s="488"/>
      <c r="E8" s="24" t="s">
        <v>229</v>
      </c>
      <c r="F8" s="17" t="s">
        <v>230</v>
      </c>
      <c r="G8" s="82">
        <f>30/100*G14</f>
        <v>27018899.999999996</v>
      </c>
      <c r="H8" s="83">
        <f>60/100*G8</f>
        <v>16211339.999999996</v>
      </c>
      <c r="I8" s="15" t="s">
        <v>231</v>
      </c>
      <c r="J8" s="99">
        <f>37*1</f>
        <v>37</v>
      </c>
      <c r="K8" s="81" t="s">
        <v>232</v>
      </c>
      <c r="L8" s="106">
        <f>50/100*L3</f>
        <v>116.71429591836731</v>
      </c>
      <c r="M8" s="482"/>
      <c r="N8" s="2"/>
    </row>
    <row r="9" spans="1:14" ht="24" x14ac:dyDescent="0.25">
      <c r="A9" s="480"/>
      <c r="B9" s="494"/>
      <c r="C9" s="491"/>
      <c r="D9" s="488"/>
      <c r="E9" s="19" t="s">
        <v>233</v>
      </c>
      <c r="F9" s="19"/>
      <c r="G9" s="29"/>
      <c r="H9" s="40"/>
      <c r="I9" s="16"/>
      <c r="J9" s="100"/>
      <c r="K9" s="81"/>
      <c r="L9" s="105"/>
      <c r="M9" s="482"/>
    </row>
    <row r="10" spans="1:14" ht="60" x14ac:dyDescent="0.25">
      <c r="A10" s="480"/>
      <c r="B10" s="494"/>
      <c r="C10" s="491"/>
      <c r="D10" s="488"/>
      <c r="E10" s="19" t="s">
        <v>234</v>
      </c>
      <c r="F10" s="19"/>
      <c r="G10" s="29"/>
      <c r="H10" s="40"/>
      <c r="I10" s="21"/>
      <c r="J10" s="101"/>
      <c r="K10" s="81"/>
      <c r="L10" s="105"/>
      <c r="M10" s="482"/>
    </row>
    <row r="11" spans="1:14" x14ac:dyDescent="0.25">
      <c r="A11" s="480"/>
      <c r="B11" s="494"/>
      <c r="C11" s="491"/>
      <c r="D11" s="488"/>
      <c r="E11" s="19" t="s">
        <v>235</v>
      </c>
      <c r="F11" s="19"/>
      <c r="G11" s="29"/>
      <c r="H11" s="40"/>
      <c r="I11" s="21"/>
      <c r="J11" s="101"/>
      <c r="K11" s="81"/>
      <c r="L11" s="105"/>
      <c r="M11" s="482"/>
    </row>
    <row r="12" spans="1:14" x14ac:dyDescent="0.25">
      <c r="A12" s="480"/>
      <c r="B12" s="494"/>
      <c r="C12" s="491"/>
      <c r="D12" s="488"/>
      <c r="E12" s="18" t="s">
        <v>236</v>
      </c>
      <c r="F12" s="81"/>
      <c r="G12" s="39"/>
      <c r="H12" s="84"/>
      <c r="I12" s="25"/>
      <c r="J12" s="101"/>
      <c r="K12" s="81"/>
      <c r="L12" s="105"/>
      <c r="M12" s="482"/>
    </row>
    <row r="13" spans="1:14" x14ac:dyDescent="0.25">
      <c r="A13" s="485"/>
      <c r="B13" s="495"/>
      <c r="C13" s="492"/>
      <c r="D13" s="489"/>
      <c r="E13" s="79" t="s">
        <v>237</v>
      </c>
      <c r="F13" s="20"/>
      <c r="G13" s="22"/>
      <c r="H13" s="80"/>
      <c r="I13" s="25" t="s">
        <v>238</v>
      </c>
      <c r="J13" s="102">
        <f>37*1</f>
        <v>37</v>
      </c>
      <c r="K13" s="18"/>
      <c r="L13" s="107"/>
      <c r="M13" s="486"/>
    </row>
    <row r="14" spans="1:14" x14ac:dyDescent="0.25">
      <c r="F14" s="4" t="s">
        <v>239</v>
      </c>
      <c r="G14" s="89">
        <f>'ОПНО_визия евро'!C6</f>
        <v>90062999.999999985</v>
      </c>
    </row>
    <row r="17" spans="6:8" ht="15.75" thickBot="1" x14ac:dyDescent="0.3"/>
    <row r="18" spans="6:8" x14ac:dyDescent="0.25">
      <c r="F18" s="91" t="s">
        <v>240</v>
      </c>
      <c r="G18" s="92">
        <f>0.4*350000000</f>
        <v>140000000</v>
      </c>
      <c r="H18" s="92">
        <f>(30+224)</f>
        <v>254</v>
      </c>
    </row>
    <row r="19" spans="6:8" x14ac:dyDescent="0.25">
      <c r="F19" s="96" t="s">
        <v>241</v>
      </c>
      <c r="G19" s="108">
        <f>G14/70*100</f>
        <v>128661428.57142854</v>
      </c>
      <c r="H19" s="93"/>
    </row>
    <row r="20" spans="6:8" ht="15.75" thickBot="1" x14ac:dyDescent="0.3">
      <c r="F20" s="94"/>
      <c r="G20" s="95">
        <f>G19/G18</f>
        <v>0.91901020408163236</v>
      </c>
      <c r="H20" s="98">
        <f>H18*G20</f>
        <v>233.42859183673463</v>
      </c>
    </row>
    <row r="21" spans="6:8" x14ac:dyDescent="0.25">
      <c r="F21" s="2" t="s">
        <v>242</v>
      </c>
      <c r="G21" s="109">
        <f>G19/3500000</f>
        <v>36.760408163265296</v>
      </c>
    </row>
  </sheetData>
  <customSheetViews>
    <customSheetView guid="{6BEE494D-3BDB-46C2-9750-A57C1F94B9B8}"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
    </customSheetView>
    <customSheetView guid="{B426F9F8-EB1A-4D7B-9478-7E22D414CC1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2"/>
    </customSheetView>
    <customSheetView guid="{13EBDE9D-EC74-4522-9EED-363E735B4A78}"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3"/>
    </customSheetView>
    <customSheetView guid="{F67C426D-26F1-4B15-961D-40AFD17A9EE3}"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4"/>
    </customSheetView>
    <customSheetView guid="{B777B674-73ED-4225-A0AA-917FDFF5A819}"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5"/>
    </customSheetView>
    <customSheetView guid="{DE1004AE-EE6B-445B-9B87-77176E699CE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6"/>
    </customSheetView>
    <customSheetView guid="{7FBA698A-B4F9-473C-A697-22EC99EC738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7"/>
    </customSheetView>
    <customSheetView guid="{53CF95D2-2F99-49E8-AB7F-7627DCDE0DC8}"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8"/>
    </customSheetView>
    <customSheetView guid="{AD504361-49F3-4986-BDBF-FB73E229997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9"/>
    </customSheetView>
    <customSheetView guid="{DD0EA6D3-BC8C-40D3-B12F-B88059C8E3D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0"/>
    </customSheetView>
    <customSheetView guid="{72B67681-E295-44ED-80A6-F4B618B242B1}" scale="90" showPageBreaks="1" state="hidden" view="pageBreakPreview">
      <pane ySplit="2" topLeftCell="A3" activePane="bottomLeft" state="frozen"/>
      <selection pane="bottomLeft" activeCell="C3" sqref="C3:C13"/>
    </customSheetView>
    <customSheetView guid="{9CD5F6CE-0E1C-42DA-A598-93523B740CB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1"/>
    </customSheetView>
    <customSheetView guid="{E07B67F4-8A17-4050-B9B8-81977BCB02E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2"/>
    </customSheetView>
    <customSheetView guid="{2A6315F5-C9A2-43A7-B337-00FD30A3EB2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3"/>
    </customSheetView>
    <customSheetView guid="{D1BD168D-40B4-46AB-88B7-64C22520CFA0}"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4"/>
    </customSheetView>
    <customSheetView guid="{56BC42A3-D967-4F27-BD5A-CB0B8CB7F657}"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5"/>
    </customSheetView>
    <customSheetView guid="{DE419AE1-55C7-41E8-9A94-E4062EF30970}"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6"/>
    </customSheetView>
    <customSheetView guid="{6B77031E-918C-40F9-A42D-E4EA46622624}"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7"/>
    </customSheetView>
    <customSheetView guid="{77799D3C-38E2-410A-80FA-AECD8E6AB89B}"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8"/>
    </customSheetView>
    <customSheetView guid="{32A281B9-28FB-4D0E-8C01-BFBADAC8C3C9}"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9"/>
    </customSheetView>
  </customSheetViews>
  <mergeCells count="5">
    <mergeCell ref="A3:A13"/>
    <mergeCell ref="M3:M13"/>
    <mergeCell ref="D3:D13"/>
    <mergeCell ref="C3:C13"/>
    <mergeCell ref="B3:B13"/>
  </mergeCells>
  <pageMargins left="0.7" right="0.7" top="0.75" bottom="0.75" header="0.3" footer="0.3"/>
  <pageSetup paperSize="9" scale="23" orientation="portrait"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20"/>
  <sheetViews>
    <sheetView view="pageBreakPreview" zoomScale="110" zoomScaleNormal="100" zoomScaleSheetLayoutView="110" workbookViewId="0">
      <pane ySplit="2" topLeftCell="A3" activePane="bottomLeft" state="frozen"/>
      <selection pane="bottomLeft" activeCell="C3" sqref="C3:C12"/>
    </sheetView>
  </sheetViews>
  <sheetFormatPr defaultColWidth="21.42578125" defaultRowHeight="15" x14ac:dyDescent="0.25"/>
  <cols>
    <col min="1" max="1" width="12.5703125" style="2" customWidth="1"/>
    <col min="2" max="2" width="12.28515625" style="2" customWidth="1"/>
    <col min="3" max="3" width="11" style="2" customWidth="1"/>
    <col min="4" max="4" width="14.28515625" style="2" bestFit="1" customWidth="1"/>
    <col min="5" max="5" width="41" style="2" customWidth="1"/>
    <col min="6" max="6" width="43.28515625" style="2" customWidth="1"/>
    <col min="7" max="7" width="13.28515625" style="2" customWidth="1"/>
    <col min="8" max="8" width="11.28515625" style="2" customWidth="1"/>
    <col min="9" max="9" width="30.7109375" style="2" customWidth="1"/>
    <col min="10" max="10" width="20.7109375" style="2" bestFit="1" customWidth="1"/>
    <col min="11" max="12" width="21" style="2" bestFit="1" customWidth="1"/>
    <col min="13" max="13" width="20" style="2" bestFit="1" customWidth="1"/>
    <col min="14" max="14" width="21" style="2" hidden="1" customWidth="1"/>
    <col min="15" max="15" width="21.42578125" style="2" hidden="1" customWidth="1"/>
    <col min="16" max="19" width="21.42578125" style="5"/>
    <col min="20" max="16384" width="21.42578125" style="2"/>
  </cols>
  <sheetData>
    <row r="1" spans="1:19" s="4" customFormat="1" ht="12" x14ac:dyDescent="0.25">
      <c r="A1" s="1">
        <v>2</v>
      </c>
      <c r="B1" s="1">
        <v>3</v>
      </c>
      <c r="C1" s="1">
        <v>6</v>
      </c>
      <c r="D1" s="1">
        <v>7</v>
      </c>
      <c r="E1" s="1">
        <v>8</v>
      </c>
      <c r="F1" s="1">
        <v>9</v>
      </c>
      <c r="G1" s="1">
        <v>10</v>
      </c>
      <c r="H1" s="1"/>
      <c r="I1" s="1">
        <v>11</v>
      </c>
      <c r="J1" s="1">
        <v>12</v>
      </c>
      <c r="K1" s="1">
        <v>13</v>
      </c>
      <c r="L1" s="1">
        <v>14</v>
      </c>
      <c r="M1" s="1">
        <v>15</v>
      </c>
      <c r="N1" s="1">
        <v>16</v>
      </c>
      <c r="O1" s="1">
        <v>17</v>
      </c>
    </row>
    <row r="2" spans="1:19" s="4" customFormat="1" ht="132" x14ac:dyDescent="0.25">
      <c r="A2" s="1" t="s">
        <v>243</v>
      </c>
      <c r="B2" s="1" t="s">
        <v>244</v>
      </c>
      <c r="C2" s="1" t="s">
        <v>245</v>
      </c>
      <c r="D2" s="1" t="s">
        <v>246</v>
      </c>
      <c r="E2" s="1" t="s">
        <v>247</v>
      </c>
      <c r="F2" s="1" t="s">
        <v>248</v>
      </c>
      <c r="G2" s="1" t="s">
        <v>249</v>
      </c>
      <c r="H2" s="1" t="s">
        <v>250</v>
      </c>
      <c r="I2" s="1" t="s">
        <v>251</v>
      </c>
      <c r="J2" s="1" t="s">
        <v>252</v>
      </c>
      <c r="K2" s="1" t="s">
        <v>253</v>
      </c>
      <c r="L2" s="1" t="s">
        <v>254</v>
      </c>
      <c r="M2" s="1" t="s">
        <v>255</v>
      </c>
      <c r="N2" s="1" t="s">
        <v>256</v>
      </c>
      <c r="O2" s="1" t="s">
        <v>257</v>
      </c>
    </row>
    <row r="3" spans="1:19" ht="120" x14ac:dyDescent="0.25">
      <c r="A3" s="487" t="s">
        <v>258</v>
      </c>
      <c r="B3" s="502" t="s">
        <v>259</v>
      </c>
      <c r="C3" s="498" t="s">
        <v>260</v>
      </c>
      <c r="D3" s="493" t="s">
        <v>261</v>
      </c>
      <c r="E3" s="22" t="s">
        <v>262</v>
      </c>
      <c r="F3" s="19" t="s">
        <v>263</v>
      </c>
      <c r="G3" s="78">
        <f>G5-G4</f>
        <v>27739403.999999989</v>
      </c>
      <c r="H3" s="78"/>
      <c r="I3" s="12" t="s">
        <v>264</v>
      </c>
      <c r="J3" s="30">
        <f>80/100*60/100*G5</f>
        <v>15130583.999999994</v>
      </c>
      <c r="K3" s="13" t="s">
        <v>265</v>
      </c>
      <c r="L3" s="88">
        <f>(224+93)/14*1.15*3</f>
        <v>78.117857142857133</v>
      </c>
      <c r="M3" s="500" t="s">
        <v>266</v>
      </c>
      <c r="N3" s="496"/>
      <c r="O3" s="497"/>
      <c r="P3" s="2"/>
      <c r="Q3" s="2"/>
      <c r="R3" s="2"/>
      <c r="S3" s="2"/>
    </row>
    <row r="4" spans="1:19" ht="48" x14ac:dyDescent="0.25">
      <c r="A4" s="488"/>
      <c r="B4" s="502"/>
      <c r="C4" s="499"/>
      <c r="D4" s="494"/>
      <c r="E4" s="10"/>
      <c r="F4" s="10" t="s">
        <v>267</v>
      </c>
      <c r="G4" s="78">
        <f>20/100*60/100*G5</f>
        <v>3782645.9999999986</v>
      </c>
      <c r="H4" s="78"/>
      <c r="I4" s="42"/>
      <c r="J4" s="85">
        <f>60/100*G5-J3-G4</f>
        <v>0</v>
      </c>
      <c r="K4" s="13"/>
      <c r="L4" s="38"/>
      <c r="M4" s="501"/>
      <c r="N4" s="496"/>
      <c r="O4" s="497"/>
      <c r="P4" s="2"/>
      <c r="Q4" s="2"/>
      <c r="R4" s="2"/>
      <c r="S4" s="2"/>
    </row>
    <row r="5" spans="1:19" ht="12" x14ac:dyDescent="0.25">
      <c r="A5" s="488"/>
      <c r="B5" s="502"/>
      <c r="C5" s="499"/>
      <c r="D5" s="494"/>
      <c r="E5" s="12"/>
      <c r="F5" s="41" t="s">
        <v>268</v>
      </c>
      <c r="G5" s="82">
        <f>60/100*'ОПНО_визия евро'!C4</f>
        <v>31522049.999999989</v>
      </c>
      <c r="H5" s="78"/>
      <c r="I5" s="11"/>
      <c r="J5" s="31"/>
      <c r="K5" s="13"/>
      <c r="L5" s="39"/>
      <c r="M5" s="501"/>
      <c r="N5" s="496"/>
      <c r="O5" s="497"/>
      <c r="P5" s="2"/>
      <c r="Q5" s="2"/>
      <c r="R5" s="2"/>
      <c r="S5" s="2"/>
    </row>
    <row r="6" spans="1:19" ht="72" x14ac:dyDescent="0.25">
      <c r="A6" s="488"/>
      <c r="B6" s="502"/>
      <c r="C6" s="499"/>
      <c r="D6" s="494"/>
      <c r="E6" s="24" t="s">
        <v>269</v>
      </c>
      <c r="F6" s="17" t="s">
        <v>270</v>
      </c>
      <c r="G6" s="82">
        <f>30/100*'ОПНО_визия евро'!C4</f>
        <v>15761024.999999994</v>
      </c>
      <c r="H6" s="82">
        <f>'ОПНО_визия евро'!B4-П3_Наука_Хоризонт!H11-П3_Наука_Хоризонт!H3</f>
        <v>7355144.9999999981</v>
      </c>
      <c r="I6" s="21" t="s">
        <v>271</v>
      </c>
      <c r="J6" s="32">
        <f>(210+359)/14*1.15*3+12*5</f>
        <v>200.21785714285716</v>
      </c>
      <c r="K6" s="13" t="s">
        <v>272</v>
      </c>
      <c r="L6" s="28">
        <f>(30+224)/14*1.15*3+12</f>
        <v>74.592857142857127</v>
      </c>
      <c r="M6" s="501"/>
      <c r="N6" s="496"/>
      <c r="O6" s="497"/>
      <c r="P6" s="2"/>
      <c r="Q6" s="2"/>
      <c r="R6" s="2"/>
      <c r="S6" s="2"/>
    </row>
    <row r="7" spans="1:19" ht="36" x14ac:dyDescent="0.25">
      <c r="A7" s="488"/>
      <c r="B7" s="502"/>
      <c r="C7" s="499"/>
      <c r="D7" s="494"/>
      <c r="E7" s="24" t="s">
        <v>273</v>
      </c>
      <c r="F7" s="19"/>
      <c r="G7" s="29"/>
      <c r="H7" s="29"/>
      <c r="I7" s="23" t="s">
        <v>274</v>
      </c>
      <c r="J7" s="33">
        <f>3*3+12</f>
        <v>21</v>
      </c>
      <c r="K7" s="13"/>
      <c r="L7" s="37"/>
      <c r="M7" s="501"/>
      <c r="N7" s="496"/>
      <c r="O7" s="497"/>
      <c r="P7" s="2"/>
      <c r="Q7" s="2"/>
      <c r="R7" s="2"/>
      <c r="S7" s="2"/>
    </row>
    <row r="8" spans="1:19" ht="36" x14ac:dyDescent="0.25">
      <c r="A8" s="488"/>
      <c r="B8" s="502"/>
      <c r="C8" s="499"/>
      <c r="D8" s="494"/>
      <c r="E8" s="19" t="s">
        <v>275</v>
      </c>
      <c r="F8" s="19"/>
      <c r="G8" s="29"/>
      <c r="H8" s="29"/>
      <c r="I8" s="21"/>
      <c r="J8" s="34"/>
      <c r="K8" s="13"/>
      <c r="L8" s="39"/>
      <c r="M8" s="501"/>
      <c r="N8" s="496"/>
      <c r="O8" s="497"/>
      <c r="P8" s="2"/>
      <c r="Q8" s="2"/>
      <c r="R8" s="2"/>
      <c r="S8" s="2"/>
    </row>
    <row r="9" spans="1:19" ht="60" x14ac:dyDescent="0.25">
      <c r="A9" s="488"/>
      <c r="B9" s="502"/>
      <c r="C9" s="499"/>
      <c r="D9" s="494"/>
      <c r="E9" s="19" t="s">
        <v>276</v>
      </c>
      <c r="F9" s="19"/>
      <c r="G9" s="29"/>
      <c r="H9" s="29"/>
      <c r="I9" s="21"/>
      <c r="J9" s="34"/>
      <c r="K9" s="13"/>
      <c r="L9" s="39"/>
      <c r="M9" s="501"/>
      <c r="N9" s="496"/>
      <c r="O9" s="497"/>
      <c r="P9" s="2"/>
      <c r="Q9" s="2"/>
      <c r="R9" s="2"/>
      <c r="S9" s="2"/>
    </row>
    <row r="10" spans="1:19" ht="60" x14ac:dyDescent="0.25">
      <c r="A10" s="488"/>
      <c r="B10" s="502"/>
      <c r="C10" s="499"/>
      <c r="D10" s="494"/>
      <c r="E10" s="20" t="s">
        <v>277</v>
      </c>
      <c r="F10" s="19"/>
      <c r="G10" s="29"/>
      <c r="H10" s="22"/>
      <c r="I10" s="21"/>
      <c r="J10" s="35"/>
      <c r="K10" s="13"/>
      <c r="L10" s="38"/>
      <c r="M10" s="501"/>
      <c r="N10" s="496"/>
      <c r="O10" s="497"/>
      <c r="P10" s="2"/>
      <c r="Q10" s="2"/>
      <c r="R10" s="2"/>
      <c r="S10" s="2"/>
    </row>
    <row r="11" spans="1:19" ht="48" x14ac:dyDescent="0.25">
      <c r="A11" s="488"/>
      <c r="B11" s="502"/>
      <c r="C11" s="499"/>
      <c r="D11" s="494"/>
      <c r="E11" s="24" t="s">
        <v>278</v>
      </c>
      <c r="F11" s="17" t="s">
        <v>279</v>
      </c>
      <c r="G11" s="82">
        <f>10/100*'ОПНО_визия евро'!C4</f>
        <v>5253674.9999999991</v>
      </c>
      <c r="H11" s="83">
        <f>60/100*G11</f>
        <v>3152204.9999999995</v>
      </c>
      <c r="I11" s="15" t="s">
        <v>280</v>
      </c>
      <c r="J11" s="35">
        <f>12*1</f>
        <v>12</v>
      </c>
      <c r="K11" s="13" t="s">
        <v>281</v>
      </c>
      <c r="L11" s="88">
        <f>50/100*L6</f>
        <v>37.296428571428564</v>
      </c>
      <c r="M11" s="501"/>
      <c r="N11" s="496"/>
      <c r="O11" s="497"/>
      <c r="P11" s="2"/>
      <c r="Q11" s="2"/>
      <c r="R11" s="2"/>
      <c r="S11" s="2"/>
    </row>
    <row r="12" spans="1:19" ht="24" x14ac:dyDescent="0.25">
      <c r="A12" s="488"/>
      <c r="B12" s="502"/>
      <c r="C12" s="499"/>
      <c r="D12" s="494"/>
      <c r="E12" s="19" t="s">
        <v>282</v>
      </c>
      <c r="F12" s="19"/>
      <c r="G12" s="29"/>
      <c r="H12" s="40"/>
      <c r="I12" s="16"/>
      <c r="J12" s="33"/>
      <c r="K12" s="13"/>
      <c r="L12" s="39"/>
      <c r="M12" s="501"/>
      <c r="N12" s="496"/>
    </row>
    <row r="13" spans="1:19" ht="72" x14ac:dyDescent="0.25">
      <c r="E13" s="19" t="s">
        <v>283</v>
      </c>
      <c r="F13" s="19"/>
      <c r="G13" s="29"/>
      <c r="H13" s="40"/>
      <c r="I13" s="21"/>
      <c r="J13" s="34"/>
      <c r="K13" s="13"/>
      <c r="L13" s="39"/>
    </row>
    <row r="14" spans="1:19" x14ac:dyDescent="0.25">
      <c r="E14" s="19" t="s">
        <v>284</v>
      </c>
      <c r="F14" s="19"/>
      <c r="G14" s="29"/>
      <c r="H14" s="40"/>
      <c r="I14" s="21"/>
      <c r="J14" s="34"/>
      <c r="K14" s="13"/>
      <c r="L14" s="39"/>
    </row>
    <row r="15" spans="1:19" x14ac:dyDescent="0.25">
      <c r="E15" s="18" t="s">
        <v>285</v>
      </c>
      <c r="F15" s="81"/>
      <c r="G15" s="39"/>
      <c r="H15" s="84"/>
      <c r="I15" s="25"/>
      <c r="J15" s="34"/>
      <c r="K15" s="13"/>
      <c r="L15" s="38"/>
    </row>
    <row r="16" spans="1:19" x14ac:dyDescent="0.25">
      <c r="E16" s="79"/>
      <c r="F16" s="20"/>
      <c r="G16" s="22"/>
      <c r="H16" s="80"/>
      <c r="I16" s="25"/>
      <c r="J16" s="32"/>
      <c r="K16" s="13"/>
      <c r="L16" s="39"/>
    </row>
    <row r="17" spans="6:7" x14ac:dyDescent="0.25">
      <c r="F17" s="90" t="s">
        <v>286</v>
      </c>
      <c r="G17" s="87">
        <f>G11+G6</f>
        <v>21014699.999999993</v>
      </c>
    </row>
    <row r="18" spans="6:7" ht="15.75" thickBot="1" x14ac:dyDescent="0.3"/>
    <row r="19" spans="6:7" x14ac:dyDescent="0.25">
      <c r="F19" s="110" t="s">
        <v>287</v>
      </c>
      <c r="G19" s="97">
        <v>3</v>
      </c>
    </row>
    <row r="20" spans="6:7" ht="15.75" thickBot="1" x14ac:dyDescent="0.3">
      <c r="F20" s="94" t="s">
        <v>288</v>
      </c>
      <c r="G20" s="98">
        <f>G17/70*100*1.95583/5000000</f>
        <v>11.743194485999995</v>
      </c>
    </row>
  </sheetData>
  <customSheetViews>
    <customSheetView guid="{6BEE494D-3BDB-46C2-9750-A57C1F94B9B8}"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
    </customSheetView>
    <customSheetView guid="{B426F9F8-EB1A-4D7B-9478-7E22D414CC1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2"/>
    </customSheetView>
    <customSheetView guid="{13EBDE9D-EC74-4522-9EED-363E735B4A78}"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3"/>
    </customSheetView>
    <customSheetView guid="{F67C426D-26F1-4B15-961D-40AFD17A9EE3}"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4"/>
    </customSheetView>
    <customSheetView guid="{B777B674-73ED-4225-A0AA-917FDFF5A819}"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5"/>
    </customSheetView>
    <customSheetView guid="{DE1004AE-EE6B-445B-9B87-77176E699CE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6"/>
    </customSheetView>
    <customSheetView guid="{7FBA698A-B4F9-473C-A697-22EC99EC738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7"/>
    </customSheetView>
    <customSheetView guid="{53CF95D2-2F99-49E8-AB7F-7627DCDE0DC8}"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8"/>
    </customSheetView>
    <customSheetView guid="{AD504361-49F3-4986-BDBF-FB73E2299976}" scale="110" showPageBreaks="1" printArea="1" hiddenColumns="1" state="hidden" view="pageBreakPreview">
      <pane ySplit="1" topLeftCell="A3" activePane="bottomLeft" state="frozen"/>
      <selection pane="bottomLeft" activeCell="C3" sqref="C3:C12"/>
      <pageMargins left="0.7" right="0.7" top="0.75" bottom="0.75" header="0.3" footer="0.3"/>
      <pageSetup paperSize="9" scale="23" orientation="portrait" r:id="rId9"/>
    </customSheetView>
    <customSheetView guid="{DD0EA6D3-BC8C-40D3-B12F-B88059C8E3D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0"/>
    </customSheetView>
    <customSheetView guid="{72B67681-E295-44ED-80A6-F4B618B242B1}" scale="110" showPageBreaks="1" state="hidden" view="pageBreakPreview">
      <pane ySplit="2" topLeftCell="A3" activePane="bottomLeft" state="frozen"/>
      <selection pane="bottomLeft" activeCell="C3" sqref="C3:C12"/>
    </customSheetView>
    <customSheetView guid="{9CD5F6CE-0E1C-42DA-A598-93523B740CB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1"/>
    </customSheetView>
    <customSheetView guid="{E07B67F4-8A17-4050-B9B8-81977BCB02E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2"/>
    </customSheetView>
    <customSheetView guid="{2A6315F5-C9A2-43A7-B337-00FD30A3EB2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3"/>
    </customSheetView>
    <customSheetView guid="{D1BD168D-40B4-46AB-88B7-64C22520CFA0}"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4"/>
    </customSheetView>
    <customSheetView guid="{56BC42A3-D967-4F27-BD5A-CB0B8CB7F657}"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5"/>
    </customSheetView>
    <customSheetView guid="{DE419AE1-55C7-41E8-9A94-E4062EF30970}"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6"/>
    </customSheetView>
    <customSheetView guid="{6B77031E-918C-40F9-A42D-E4EA46622624}"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7"/>
    </customSheetView>
    <customSheetView guid="{77799D3C-38E2-410A-80FA-AECD8E6AB89B}"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8"/>
    </customSheetView>
    <customSheetView guid="{32A281B9-28FB-4D0E-8C01-BFBADAC8C3C9}"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9"/>
    </customSheetView>
  </customSheetViews>
  <mergeCells count="7">
    <mergeCell ref="N3:N12"/>
    <mergeCell ref="O3:O11"/>
    <mergeCell ref="D3:D12"/>
    <mergeCell ref="C3:C12"/>
    <mergeCell ref="A3:A12"/>
    <mergeCell ref="M3:M12"/>
    <mergeCell ref="B3:B12"/>
  </mergeCells>
  <pageMargins left="0.7" right="0.7" top="0.75" bottom="0.75" header="0.3" footer="0.3"/>
  <pageSetup paperSize="9" scale="23"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Финансови бюджетни </vt:lpstr>
      <vt:lpstr>Финансов план на ПТП</vt:lpstr>
      <vt:lpstr>ОПНО_визия евро</vt:lpstr>
      <vt:lpstr>ПОКАЗАТЕЛИ ПТП </vt:lpstr>
      <vt:lpstr>Подробно разпределение </vt:lpstr>
      <vt:lpstr>работен</vt:lpstr>
      <vt:lpstr>П3_Наука_Инфраструктура</vt:lpstr>
      <vt:lpstr>П3_Наука Изследвания</vt:lpstr>
      <vt:lpstr>П3_Наука_Хоризонт</vt:lpstr>
      <vt:lpstr>'Финансов план на ПТП'!_ftnref1</vt:lpstr>
      <vt:lpstr>'ОПНО_визия евро'!Print_Area</vt:lpstr>
      <vt:lpstr>'П3_Наука Изследвания'!Print_Area</vt:lpstr>
      <vt:lpstr>П3_Наука_Инфраструктура!Print_Area</vt:lpstr>
      <vt:lpstr>П3_Наука_Хоризонт!Print_Area</vt:lpstr>
      <vt:lpstr>'ПОКАЗАТЕЛИ ПТП '!Print_Area</vt:lpstr>
      <vt:lpstr>'Финансов план на ПТП'!Print_Area</vt:lpstr>
      <vt:lpstr>'Финансови бюджетни '!Print_Area</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Popov</dc:creator>
  <cp:lastModifiedBy>Емилия Герджикова</cp:lastModifiedBy>
  <cp:lastPrinted>2022-11-15T08:31:30Z</cp:lastPrinted>
  <dcterms:created xsi:type="dcterms:W3CDTF">2019-11-22T10:11:00Z</dcterms:created>
  <dcterms:modified xsi:type="dcterms:W3CDTF">2025-06-06T13:48:28Z</dcterms:modified>
</cp:coreProperties>
</file>