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TAP\COMMUNICATION\PRESS\2025-06-05_Изменение на ПТП 2.0\"/>
    </mc:Choice>
  </mc:AlternateContent>
  <bookViews>
    <workbookView xWindow="0" yWindow="0" windowWidth="23040" windowHeight="9210" tabRatio="782" activeTab="3"/>
  </bookViews>
  <sheets>
    <sheet name="Финансови бюджетни " sheetId="1" r:id="rId1"/>
    <sheet name="Финансов план на ПТП" sheetId="2" r:id="rId2"/>
    <sheet name="ОПНО_визия евро" sheetId="3" state="hidden" r:id="rId3"/>
    <sheet name="ПОКАЗАТЕЛИ ПТП " sheetId="4" r:id="rId4"/>
    <sheet name="Подробно разпределение " sheetId="5" r:id="rId5"/>
    <sheet name="работен" sheetId="6" state="hidden" r:id="rId6"/>
    <sheet name="П3_Наука_Инфраструктура" sheetId="7" state="hidden" r:id="rId7"/>
    <sheet name="П3_Наука Изследвания" sheetId="8" state="hidden" r:id="rId8"/>
    <sheet name="П3_Наука_Хоризонт" sheetId="9" state="hidden" r:id="rId9"/>
  </sheets>
  <definedNames>
    <definedName name="_xlnm._FilterDatabase" localSheetId="4" hidden="1">'Подробно разпределение '!$A$2:$AD$24</definedName>
    <definedName name="_xlnm._FilterDatabase" localSheetId="3" hidden="1">'ПОКАЗАТЕЛИ ПТП '!$A$1:$M$73</definedName>
    <definedName name="_ftn1" localSheetId="3">'ПОКАЗАТЕЛИ ПТП '!#REF!</definedName>
    <definedName name="_ftnref1" localSheetId="1">'Финансов план на ПТП'!$A$24</definedName>
    <definedName name="_xlnm.Print_Area" localSheetId="2">'ОПНО_визия евро'!$A$1:$O$30</definedName>
    <definedName name="_xlnm.Print_Area" localSheetId="7">'П3_Наука Изследвания'!$A$1:$M$14</definedName>
    <definedName name="_xlnm.Print_Area" localSheetId="6">П3_Наука_Инфраструктура!$A$1:$L$16</definedName>
    <definedName name="_xlnm.Print_Area" localSheetId="8">П3_Наука_Хоризонт!$A$1:$M$18</definedName>
    <definedName name="_xlnm.Print_Area" localSheetId="3">'ПОКАЗАТЕЛИ ПТП '!$A$1:$S$65</definedName>
    <definedName name="_xlnm.Print_Area" localSheetId="1">'Финансов план на ПТП'!$A$2:$M$18</definedName>
    <definedName name="_xlnm.Print_Area" localSheetId="0">'Финансови бюджетни '!$A$4:$L$8</definedName>
    <definedName name="result.jsf?x_2_805" localSheetId="5">работен!#REF!</definedName>
    <definedName name="Z_008ABF53_164D_4C5B_BA98_868C9AB74E7A_.wvu.FilterData" localSheetId="3" hidden="1">'ПОКАЗАТЕЛИ ПТП '!$A$1:$M$65</definedName>
    <definedName name="Z_042EB648_82BC_4224_BE18_E23E37019127_.wvu.FilterData" localSheetId="3" hidden="1">'ПОКАЗАТЕЛИ ПТП '!$A$1:$M$65</definedName>
    <definedName name="Z_076F3EBE_351B_40E7_B497_75BD777031D1_.wvu.FilterData" localSheetId="3" hidden="1">'ПОКАЗАТЕЛИ ПТП '!$A$1:$M$73</definedName>
    <definedName name="Z_0B483FC7_B634_4102_9054_FF702DF2D16D_.wvu.FilterData" localSheetId="3" hidden="1">'ПОКАЗАТЕЛИ ПТП '!$A$1:$M$65</definedName>
    <definedName name="Z_0C97AF8D_7C80_4D3A_884E_0BB39D941EA8_.wvu.FilterData" localSheetId="3" hidden="1">'ПОКАЗАТЕЛИ ПТП '!$A$1:$M$65</definedName>
    <definedName name="Z_0CC29DAA_CB45_4ECC_AEC6_24DC9DBF66F4_.wvu.FilterData" localSheetId="3" hidden="1">'ПОКАЗАТЕЛИ ПТП '!$A$1:$M$65</definedName>
    <definedName name="Z_0D9D0AF2_9ABA_40E6_B191_B3B1008D0E0A_.wvu.FilterData" localSheetId="3" hidden="1">'ПОКАЗАТЕЛИ ПТП '!$A$1:$M$65</definedName>
    <definedName name="Z_0F284C65_6180_4150_9970_738EE7A62FB9_.wvu.FilterData" localSheetId="3" hidden="1">'ПОКАЗАТЕЛИ ПТП '!$A$1:$F$65</definedName>
    <definedName name="Z_12034DF3_5272_494A_9232_51EF03EB9FD6_.wvu.FilterData" localSheetId="3" hidden="1">'ПОКАЗАТЕЛИ ПТП '!$A$1:$M$65</definedName>
    <definedName name="Z_13EBDE9D_EC74_4522_9EED_363E735B4A78_.wvu.Cols" localSheetId="8" hidden="1">П3_Наука_Хоризонт!$N:$O</definedName>
    <definedName name="Z_13EBDE9D_EC74_4522_9EED_363E735B4A78_.wvu.FilterData" localSheetId="4" hidden="1">'Подробно разпределение '!$A$2:$AD$24</definedName>
    <definedName name="Z_13EBDE9D_EC74_4522_9EED_363E735B4A78_.wvu.FilterData" localSheetId="3" hidden="1">'ПОКАЗАТЕЛИ ПТП '!$A$1:$M$73</definedName>
    <definedName name="Z_13EBDE9D_EC74_4522_9EED_363E735B4A78_.wvu.PrintArea" localSheetId="2" hidden="1">'ОПНО_визия евро'!$A$1:$O$30</definedName>
    <definedName name="Z_13EBDE9D_EC74_4522_9EED_363E735B4A78_.wvu.PrintArea" localSheetId="7" hidden="1">'П3_Наука Изследвания'!$A$1:$M$14</definedName>
    <definedName name="Z_13EBDE9D_EC74_4522_9EED_363E735B4A78_.wvu.PrintArea" localSheetId="6" hidden="1">П3_Наука_Инфраструктура!$A$1:$L$16</definedName>
    <definedName name="Z_13EBDE9D_EC74_4522_9EED_363E735B4A78_.wvu.PrintArea" localSheetId="8" hidden="1">П3_Наука_Хоризонт!$A$1:$M$18</definedName>
    <definedName name="Z_13EBDE9D_EC74_4522_9EED_363E735B4A78_.wvu.PrintArea" localSheetId="3" hidden="1">'ПОКАЗАТЕЛИ ПТП '!$A$1:$S$65</definedName>
    <definedName name="Z_13EBDE9D_EC74_4522_9EED_363E735B4A78_.wvu.PrintArea" localSheetId="1" hidden="1">'Финансов план на ПТП'!$A$2:$M$18</definedName>
    <definedName name="Z_13EBDE9D_EC74_4522_9EED_363E735B4A78_.wvu.PrintArea" localSheetId="0" hidden="1">'Финансови бюджетни '!$A$4:$L$8</definedName>
    <definedName name="Z_145F2F6D_8F9C_4454_A0C6_DC4412ADDAB8_.wvu.FilterData" localSheetId="3" hidden="1">'ПОКАЗАТЕЛИ ПТП '!$A$1:$M$65</definedName>
    <definedName name="Z_15037349_416B_47B2_A085_519110C7C71D_.wvu.FilterData" localSheetId="3" hidden="1">'ПОКАЗАТЕЛИ ПТП '!$A$1:$M$65</definedName>
    <definedName name="Z_15A0B67B_444A_4BE4_B884_AC45439F2049_.wvu.FilterData" localSheetId="3" hidden="1">'ПОКАЗАТЕЛИ ПТП '!$A$1:$M$65</definedName>
    <definedName name="Z_185D5A4C_202F_4232_A5A2_CC2DAAA668F2_.wvu.FilterData" localSheetId="3" hidden="1">'ПОКАЗАТЕЛИ ПТП '!$A$1:$M$65</definedName>
    <definedName name="Z_19B2FE13_4ADE_46F6_A7FC_A6C8743715E4_.wvu.FilterData" localSheetId="3" hidden="1">'ПОКАЗАТЕЛИ ПТП '!$A$1:$M$73</definedName>
    <definedName name="Z_1BD32DC5_9A08_4A56_B88A_ADFACE5C3CDF_.wvu.FilterData" localSheetId="3" hidden="1">'ПОКАЗАТЕЛИ ПТП '!$A$1:$M$65</definedName>
    <definedName name="Z_21066EB9_DD75_47B4_8A3E_94154F74F4CD_.wvu.FilterData" localSheetId="3" hidden="1">'ПОКАЗАТЕЛИ ПТП '!$A$1:$M$65</definedName>
    <definedName name="Z_259EE139_4126_4E29_9864_DD4E8352A150_.wvu.FilterData" localSheetId="3" hidden="1">'ПОКАЗАТЕЛИ ПТП '!$A$1:$M$65</definedName>
    <definedName name="Z_261BF8DF_488A_4B87_9FD5_F26014C63E8B_.wvu.FilterData" localSheetId="3" hidden="1">'ПОКАЗАТЕЛИ ПТП '!$A$1:$M$65</definedName>
    <definedName name="Z_2A6315F5_C9A2_43A7_B337_00FD30A3EB26_.wvu.Cols" localSheetId="8" hidden="1">П3_Наука_Хоризонт!$N:$O</definedName>
    <definedName name="Z_2A6315F5_C9A2_43A7_B337_00FD30A3EB26_.wvu.FilterData" localSheetId="3" hidden="1">'ПОКАЗАТЕЛИ ПТП '!$A$1:$F$65</definedName>
    <definedName name="Z_2A6315F5_C9A2_43A7_B337_00FD30A3EB26_.wvu.PrintArea" localSheetId="2" hidden="1">'ОПНО_визия евро'!$A$1:$O$30</definedName>
    <definedName name="Z_2A6315F5_C9A2_43A7_B337_00FD30A3EB26_.wvu.PrintArea" localSheetId="7" hidden="1">'П3_Наука Изследвания'!$A$1:$M$14</definedName>
    <definedName name="Z_2A6315F5_C9A2_43A7_B337_00FD30A3EB26_.wvu.PrintArea" localSheetId="6" hidden="1">П3_Наука_Инфраструктура!$A$1:$L$16</definedName>
    <definedName name="Z_2A6315F5_C9A2_43A7_B337_00FD30A3EB26_.wvu.PrintArea" localSheetId="8" hidden="1">П3_Наука_Хоризонт!$A$1:$M$18</definedName>
    <definedName name="Z_2A6315F5_C9A2_43A7_B337_00FD30A3EB26_.wvu.PrintArea" localSheetId="3" hidden="1">'ПОКАЗАТЕЛИ ПТП '!$A$1:$F$65</definedName>
    <definedName name="Z_2A6315F5_C9A2_43A7_B337_00FD30A3EB26_.wvu.PrintArea" localSheetId="1" hidden="1">'Финансов план на ПТП'!$A$2:$M$18</definedName>
    <definedName name="Z_2A6315F5_C9A2_43A7_B337_00FD30A3EB26_.wvu.PrintArea" localSheetId="0" hidden="1">'Финансови бюджетни '!$A$4:$L$8</definedName>
    <definedName name="Z_2D89472C_6FA3_4F06_B286_03FBC9227214_.wvu.FilterData" localSheetId="3" hidden="1">'ПОКАЗАТЕЛИ ПТП '!$A$1:$M$65</definedName>
    <definedName name="Z_2E4D13C6_37F9_4995_96E1_27C1A960A6D4_.wvu.FilterData" localSheetId="3" hidden="1">'ПОКАЗАТЕЛИ ПТП '!$A$1:$M$65</definedName>
    <definedName name="Z_2FDFD1F9_CAA9_4788_BC6B_22023547642F_.wvu.FilterData" localSheetId="3" hidden="1">'ПОКАЗАТЕЛИ ПТП '!$A$1:$M$65</definedName>
    <definedName name="Z_32A281B9_28FB_4D0E_8C01_BFBADAC8C3C9_.wvu.Cols" localSheetId="8" hidden="1">П3_Наука_Хоризонт!$N:$O</definedName>
    <definedName name="Z_32A281B9_28FB_4D0E_8C01_BFBADAC8C3C9_.wvu.Cols" localSheetId="3" hidden="1">'ПОКАЗАТЕЛИ ПТП '!$B:$D,'ПОКАЗАТЕЛИ ПТП '!$F:$F</definedName>
    <definedName name="Z_32A281B9_28FB_4D0E_8C01_BFBADAC8C3C9_.wvu.FilterData" localSheetId="4" hidden="1">'Подробно разпределение '!$A$2:$AD$24</definedName>
    <definedName name="Z_32A281B9_28FB_4D0E_8C01_BFBADAC8C3C9_.wvu.FilterData" localSheetId="3" hidden="1">'ПОКАЗАТЕЛИ ПТП '!$A$1:$M$73</definedName>
    <definedName name="Z_32A281B9_28FB_4D0E_8C01_BFBADAC8C3C9_.wvu.PrintArea" localSheetId="2" hidden="1">'ОПНО_визия евро'!$A$1:$O$30</definedName>
    <definedName name="Z_32A281B9_28FB_4D0E_8C01_BFBADAC8C3C9_.wvu.PrintArea" localSheetId="7" hidden="1">'П3_Наука Изследвания'!$A$1:$M$14</definedName>
    <definedName name="Z_32A281B9_28FB_4D0E_8C01_BFBADAC8C3C9_.wvu.PrintArea" localSheetId="6" hidden="1">П3_Наука_Инфраструктура!$A$1:$L$16</definedName>
    <definedName name="Z_32A281B9_28FB_4D0E_8C01_BFBADAC8C3C9_.wvu.PrintArea" localSheetId="8" hidden="1">П3_Наука_Хоризонт!$A$1:$M$18</definedName>
    <definedName name="Z_32A281B9_28FB_4D0E_8C01_BFBADAC8C3C9_.wvu.PrintArea" localSheetId="3" hidden="1">'ПОКАЗАТЕЛИ ПТП '!$A$1:$L$75</definedName>
    <definedName name="Z_32A281B9_28FB_4D0E_8C01_BFBADAC8C3C9_.wvu.PrintArea" localSheetId="1" hidden="1">'Финансов план на ПТП'!$A$2:$M$18</definedName>
    <definedName name="Z_32A281B9_28FB_4D0E_8C01_BFBADAC8C3C9_.wvu.PrintArea" localSheetId="0" hidden="1">'Финансови бюджетни '!$A$4:$L$8</definedName>
    <definedName name="Z_32A281B9_28FB_4D0E_8C01_BFBADAC8C3C9_.wvu.Rows" localSheetId="4" hidden="1">'Подробно разпределение '!$3:$12</definedName>
    <definedName name="Z_33934842_EF95_4E88_877F_758AD2A4D4D0_.wvu.FilterData" localSheetId="3" hidden="1">'ПОКАЗАТЕЛИ ПТП '!$A$1:$M$65</definedName>
    <definedName name="Z_3542DC62_8B17_4771_8CD4_EC4D5976F83F_.wvu.FilterData" localSheetId="3" hidden="1">'ПОКАЗАТЕЛИ ПТП '!$A$1:$M$65</definedName>
    <definedName name="Z_35D4AF83_4544_40E7_9B86_06957E47EADA_.wvu.FilterData" localSheetId="3" hidden="1">'ПОКАЗАТЕЛИ ПТП '!$A$1:$M$73</definedName>
    <definedName name="Z_38511207_ABF2_41F4_A20A_B7A537CE4931_.wvu.FilterData" localSheetId="3" hidden="1">'ПОКАЗАТЕЛИ ПТП '!$A$1:$M$65</definedName>
    <definedName name="Z_3A6DB9D9_5330_452D_8F5E_7E32B3EA3555_.wvu.FilterData" localSheetId="3" hidden="1">'ПОКАЗАТЕЛИ ПТП '!$A$1:$M$65</definedName>
    <definedName name="Z_400D726E_022B_40A1_82A9_00F5B6FC1B14_.wvu.FilterData" localSheetId="4" hidden="1">'Подробно разпределение '!$A$2:$AD$24</definedName>
    <definedName name="Z_44C2A125_6E47_4224_AD84_727CF0E61F69_.wvu.FilterData" localSheetId="3" hidden="1">'ПОКАЗАТЕЛИ ПТП '!$A$1:$M$65</definedName>
    <definedName name="Z_44ED0E52_D049_4834_BFF1_52C0F93E789F_.wvu.FilterData" localSheetId="3" hidden="1">'ПОКАЗАТЕЛИ ПТП '!$A$1:$M$65</definedName>
    <definedName name="Z_450731DB_4BF9_4C9E_BDB4_C26D40562C68_.wvu.FilterData" localSheetId="3" hidden="1">'ПОКАЗАТЕЛИ ПТП '!$A$1:$M$65</definedName>
    <definedName name="Z_46A1F39A_22E7_4B48_903F_3893C818F1C6_.wvu.FilterData" localSheetId="3" hidden="1">'ПОКАЗАТЕЛИ ПТП '!$A$1:$M$65</definedName>
    <definedName name="Z_478865FB_599C_4C08_B032_427D6B351E57_.wvu.FilterData" localSheetId="3" hidden="1">'ПОКАЗАТЕЛИ ПТП '!$A$1:$F$65</definedName>
    <definedName name="Z_482EE438_5A4D_47B6_8226_D81C53B1B63E_.wvu.FilterData" localSheetId="3" hidden="1">'ПОКАЗАТЕЛИ ПТП '!$A$1:$M$73</definedName>
    <definedName name="Z_4B76E996_E18A_4D36_9A80_B1281B72C0DD_.wvu.FilterData" localSheetId="3" hidden="1">'ПОКАЗАТЕЛИ ПТП '!$A$1:$M$73</definedName>
    <definedName name="Z_4BB0384E_0437_4789_8DE5_FCBF7515AB0F_.wvu.FilterData" localSheetId="3" hidden="1">'ПОКАЗАТЕЛИ ПТП '!$A$1:$M$65</definedName>
    <definedName name="Z_4C25F96D_2B28_4301_92A1_E2682EC0223B_.wvu.FilterData" localSheetId="3" hidden="1">'ПОКАЗАТЕЛИ ПТП '!$A$1:$F$65</definedName>
    <definedName name="Z_4E01AB9E_03A5_44D2_9D9C_890FF04B5AD8_.wvu.FilterData" localSheetId="3" hidden="1">'ПОКАЗАТЕЛИ ПТП '!$A$1:$M$65</definedName>
    <definedName name="Z_508EDACC_2A92_47E6_91D4_24FD126F7EE3_.wvu.FilterData" localSheetId="3" hidden="1">'ПОКАЗАТЕЛИ ПТП '!$A$1:$M$65</definedName>
    <definedName name="Z_539634CF_44A3_4428_8D5D_280293A38ACF_.wvu.FilterData" localSheetId="3" hidden="1">'ПОКАЗАТЕЛИ ПТП '!$A$1:$M$65</definedName>
    <definedName name="Z_53A95ABA_92F3_4325_87CC_0C68A48FAF1F_.wvu.FilterData" localSheetId="3" hidden="1">'ПОКАЗАТЕЛИ ПТП '!$A$1:$M$65</definedName>
    <definedName name="Z_53CF95D2_2F99_49E8_AB7F_7627DCDE0DC8_.wvu.Cols" localSheetId="8" hidden="1">П3_Наука_Хоризонт!$N:$O</definedName>
    <definedName name="Z_53CF95D2_2F99_49E8_AB7F_7627DCDE0DC8_.wvu.FilterData" localSheetId="3" hidden="1">'ПОКАЗАТЕЛИ ПТП '!$A$1:$M$73</definedName>
    <definedName name="Z_53CF95D2_2F99_49E8_AB7F_7627DCDE0DC8_.wvu.PrintArea" localSheetId="2" hidden="1">'ОПНО_визия евро'!$A$1:$O$30</definedName>
    <definedName name="Z_53CF95D2_2F99_49E8_AB7F_7627DCDE0DC8_.wvu.PrintArea" localSheetId="7" hidden="1">'П3_Наука Изследвания'!$A$1:$M$14</definedName>
    <definedName name="Z_53CF95D2_2F99_49E8_AB7F_7627DCDE0DC8_.wvu.PrintArea" localSheetId="6" hidden="1">П3_Наука_Инфраструктура!$A$1:$L$16</definedName>
    <definedName name="Z_53CF95D2_2F99_49E8_AB7F_7627DCDE0DC8_.wvu.PrintArea" localSheetId="8" hidden="1">П3_Наука_Хоризонт!$A$1:$M$18</definedName>
    <definedName name="Z_53CF95D2_2F99_49E8_AB7F_7627DCDE0DC8_.wvu.PrintArea" localSheetId="3" hidden="1">'ПОКАЗАТЕЛИ ПТП '!$A$1:$L$75</definedName>
    <definedName name="Z_53CF95D2_2F99_49E8_AB7F_7627DCDE0DC8_.wvu.PrintArea" localSheetId="1" hidden="1">'Финансов план на ПТП'!$A$2:$M$18</definedName>
    <definedName name="Z_53CF95D2_2F99_49E8_AB7F_7627DCDE0DC8_.wvu.PrintArea" localSheetId="0" hidden="1">'Финансови бюджетни '!$A$4:$L$8</definedName>
    <definedName name="Z_56BC42A3_D967_4F27_BD5A_CB0B8CB7F657_.wvu.Cols" localSheetId="8" hidden="1">П3_Наука_Хоризонт!$N:$O</definedName>
    <definedName name="Z_56BC42A3_D967_4F27_BD5A_CB0B8CB7F657_.wvu.FilterData" localSheetId="3" hidden="1">'ПОКАЗАТЕЛИ ПТП '!$A$1:$M$65</definedName>
    <definedName name="Z_56BC42A3_D967_4F27_BD5A_CB0B8CB7F657_.wvu.PrintArea" localSheetId="2" hidden="1">'ОПНО_визия евро'!$A$1:$O$30</definedName>
    <definedName name="Z_56BC42A3_D967_4F27_BD5A_CB0B8CB7F657_.wvu.PrintArea" localSheetId="7" hidden="1">'П3_Наука Изследвания'!$A$1:$M$14</definedName>
    <definedName name="Z_56BC42A3_D967_4F27_BD5A_CB0B8CB7F657_.wvu.PrintArea" localSheetId="6" hidden="1">П3_Наука_Инфраструктура!$A$1:$L$16</definedName>
    <definedName name="Z_56BC42A3_D967_4F27_BD5A_CB0B8CB7F657_.wvu.PrintArea" localSheetId="8" hidden="1">П3_Наука_Хоризонт!$A$1:$M$18</definedName>
    <definedName name="Z_56BC42A3_D967_4F27_BD5A_CB0B8CB7F657_.wvu.PrintArea" localSheetId="3" hidden="1">'ПОКАЗАТЕЛИ ПТП '!$A$1:$F$65</definedName>
    <definedName name="Z_56BC42A3_D967_4F27_BD5A_CB0B8CB7F657_.wvu.PrintArea" localSheetId="1" hidden="1">'Финансов план на ПТП'!$A$2:$M$18</definedName>
    <definedName name="Z_56BC42A3_D967_4F27_BD5A_CB0B8CB7F657_.wvu.PrintArea" localSheetId="0" hidden="1">'Финансови бюджетни '!$A$4:$L$8</definedName>
    <definedName name="Z_594063B7_0116_4985_9B71_4712FA8932F2_.wvu.FilterData" localSheetId="3" hidden="1">'ПОКАЗАТЕЛИ ПТП '!$A$1:$M$65</definedName>
    <definedName name="Z_59556E99_6985_48CB_9B1C_3F9D4BC561CE_.wvu.FilterData" localSheetId="3" hidden="1">'ПОКАЗАТЕЛИ ПТП '!$A$1:$F$65</definedName>
    <definedName name="Z_59C92782_F552_4F83_88F2_58AD0899CA3F_.wvu.FilterData" localSheetId="3" hidden="1">'ПОКАЗАТЕЛИ ПТП '!$A$1:$F$65</definedName>
    <definedName name="Z_5F3C4B6F_44D6_43BD_BE64_BC56B66D339E_.wvu.FilterData" localSheetId="3" hidden="1">'ПОКАЗАТЕЛИ ПТП '!$A$1:$M$65</definedName>
    <definedName name="Z_60392FDC_0979_4005_8F6B_4B6A89DCED03_.wvu.FilterData" localSheetId="3" hidden="1">'ПОКАЗАТЕЛИ ПТП '!$A$1:$M$65</definedName>
    <definedName name="Z_60786D3F_F644_47DC_B85B_1DC39C92BC6A_.wvu.FilterData" localSheetId="3" hidden="1">'ПОКАЗАТЕЛИ ПТП '!$A$1:$M$65</definedName>
    <definedName name="Z_60ABE2B3_B68E_4D05_9061_183F6B2424F3_.wvu.FilterData" localSheetId="3" hidden="1">'ПОКАЗАТЕЛИ ПТП '!$A$1:$M$65</definedName>
    <definedName name="Z_616E1976_58DE_4466_8922_C10B7D674852_.wvu.FilterData" localSheetId="3" hidden="1">'ПОКАЗАТЕЛИ ПТП '!$A$1:$M$65</definedName>
    <definedName name="Z_688CB038_F282_4990_A834_4AD321619C8C_.wvu.FilterData" localSheetId="3" hidden="1">'ПОКАЗАТЕЛИ ПТП '!$A$1:$M$65</definedName>
    <definedName name="Z_6B77031E_918C_40F9_A42D_E4EA46622624_.wvu.Cols" localSheetId="8" hidden="1">П3_Наука_Хоризонт!$N:$O</definedName>
    <definedName name="Z_6B77031E_918C_40F9_A42D_E4EA46622624_.wvu.FilterData" localSheetId="3" hidden="1">'ПОКАЗАТЕЛИ ПТП '!$A$1:$M$73</definedName>
    <definedName name="Z_6B77031E_918C_40F9_A42D_E4EA46622624_.wvu.PrintArea" localSheetId="2" hidden="1">'ОПНО_визия евро'!$A$1:$O$30</definedName>
    <definedName name="Z_6B77031E_918C_40F9_A42D_E4EA46622624_.wvu.PrintArea" localSheetId="7" hidden="1">'П3_Наука Изследвания'!$A$1:$M$14</definedName>
    <definedName name="Z_6B77031E_918C_40F9_A42D_E4EA46622624_.wvu.PrintArea" localSheetId="6" hidden="1">П3_Наука_Инфраструктура!$A$1:$L$16</definedName>
    <definedName name="Z_6B77031E_918C_40F9_A42D_E4EA46622624_.wvu.PrintArea" localSheetId="8" hidden="1">П3_Наука_Хоризонт!$A$1:$M$18</definedName>
    <definedName name="Z_6B77031E_918C_40F9_A42D_E4EA46622624_.wvu.PrintArea" localSheetId="3" hidden="1">'ПОКАЗАТЕЛИ ПТП '!$A$1:$F$65</definedName>
    <definedName name="Z_6B77031E_918C_40F9_A42D_E4EA46622624_.wvu.PrintArea" localSheetId="1" hidden="1">'Финансов план на ПТП'!$A$2:$M$18</definedName>
    <definedName name="Z_6B77031E_918C_40F9_A42D_E4EA46622624_.wvu.PrintArea" localSheetId="0" hidden="1">'Финансови бюджетни '!$A$4:$L$8</definedName>
    <definedName name="Z_6BEE494D_3BDB_46C2_9750_A57C1F94B9B8_.wvu.Cols" localSheetId="8" hidden="1">П3_Наука_Хоризонт!$N:$O</definedName>
    <definedName name="Z_6BEE494D_3BDB_46C2_9750_A57C1F94B9B8_.wvu.FilterData" localSheetId="4" hidden="1">'Подробно разпределение '!$A$2:$AD$24</definedName>
    <definedName name="Z_6BEE494D_3BDB_46C2_9750_A57C1F94B9B8_.wvu.FilterData" localSheetId="3" hidden="1">'ПОКАЗАТЕЛИ ПТП '!$A$1:$M$73</definedName>
    <definedName name="Z_6BEE494D_3BDB_46C2_9750_A57C1F94B9B8_.wvu.PrintArea" localSheetId="2" hidden="1">'ОПНО_визия евро'!$A$1:$O$30</definedName>
    <definedName name="Z_6BEE494D_3BDB_46C2_9750_A57C1F94B9B8_.wvu.PrintArea" localSheetId="7" hidden="1">'П3_Наука Изследвания'!$A$1:$M$14</definedName>
    <definedName name="Z_6BEE494D_3BDB_46C2_9750_A57C1F94B9B8_.wvu.PrintArea" localSheetId="6" hidden="1">П3_Наука_Инфраструктура!$A$1:$L$16</definedName>
    <definedName name="Z_6BEE494D_3BDB_46C2_9750_A57C1F94B9B8_.wvu.PrintArea" localSheetId="8" hidden="1">П3_Наука_Хоризонт!$A$1:$M$18</definedName>
    <definedName name="Z_6BEE494D_3BDB_46C2_9750_A57C1F94B9B8_.wvu.PrintArea" localSheetId="3" hidden="1">'ПОКАЗАТЕЛИ ПТП '!$A$1:$S$65</definedName>
    <definedName name="Z_6BEE494D_3BDB_46C2_9750_A57C1F94B9B8_.wvu.PrintArea" localSheetId="1" hidden="1">'Финансов план на ПТП'!$A$2:$M$18</definedName>
    <definedName name="Z_6BEE494D_3BDB_46C2_9750_A57C1F94B9B8_.wvu.PrintArea" localSheetId="0" hidden="1">'Финансови бюджетни '!$A$4:$L$8</definedName>
    <definedName name="Z_6DE7F3B1_A2A5_4DF3_AB28_CEC05645DF79_.wvu.FilterData" localSheetId="3" hidden="1">'ПОКАЗАТЕЛИ ПТП '!$A$1:$M$65</definedName>
    <definedName name="Z_706ED943_D14E_4B19_B1BF_18F11D303E32_.wvu.FilterData" localSheetId="3" hidden="1">'ПОКАЗАТЕЛИ ПТП '!$A$1:$M$65</definedName>
    <definedName name="Z_77799D3C_38E2_410A_80FA_AECD8E6AB89B_.wvu.Cols" localSheetId="8" hidden="1">П3_Наука_Хоризонт!$N:$O</definedName>
    <definedName name="Z_77799D3C_38E2_410A_80FA_AECD8E6AB89B_.wvu.FilterData" localSheetId="4" hidden="1">'Подробно разпределение '!$A$2:$AD$24</definedName>
    <definedName name="Z_77799D3C_38E2_410A_80FA_AECD8E6AB89B_.wvu.FilterData" localSheetId="3" hidden="1">'ПОКАЗАТЕЛИ ПТП '!$A$1:$M$73</definedName>
    <definedName name="Z_77799D3C_38E2_410A_80FA_AECD8E6AB89B_.wvu.PrintArea" localSheetId="2" hidden="1">'ОПНО_визия евро'!$A$1:$O$30</definedName>
    <definedName name="Z_77799D3C_38E2_410A_80FA_AECD8E6AB89B_.wvu.PrintArea" localSheetId="7" hidden="1">'П3_Наука Изследвания'!$A$1:$M$14</definedName>
    <definedName name="Z_77799D3C_38E2_410A_80FA_AECD8E6AB89B_.wvu.PrintArea" localSheetId="6" hidden="1">П3_Наука_Инфраструктура!$A$1:$L$16</definedName>
    <definedName name="Z_77799D3C_38E2_410A_80FA_AECD8E6AB89B_.wvu.PrintArea" localSheetId="8" hidden="1">П3_Наука_Хоризонт!$A$1:$M$18</definedName>
    <definedName name="Z_77799D3C_38E2_410A_80FA_AECD8E6AB89B_.wvu.PrintArea" localSheetId="3" hidden="1">'ПОКАЗАТЕЛИ ПТП '!$A$1:$F$65</definedName>
    <definedName name="Z_77799D3C_38E2_410A_80FA_AECD8E6AB89B_.wvu.PrintArea" localSheetId="1" hidden="1">'Финансов план на ПТП'!$A$2:$M$18</definedName>
    <definedName name="Z_77799D3C_38E2_410A_80FA_AECD8E6AB89B_.wvu.PrintArea" localSheetId="0" hidden="1">'Финансови бюджетни '!$A$4:$L$8</definedName>
    <definedName name="Z_789DF1D1_5B2F_4DBB_A27D_7F65A344A4B0_.wvu.FilterData" localSheetId="3" hidden="1">'ПОКАЗАТЕЛИ ПТП '!$A$1:$M$65</definedName>
    <definedName name="Z_78C4BE07_3D6D_48FF_829A_93E03342FDC1_.wvu.FilterData" localSheetId="3" hidden="1">'ПОКАЗАТЕЛИ ПТП '!$A$1:$M$65</definedName>
    <definedName name="Z_7AFACEE3_4130_438F_9B62_F00738166982_.wvu.FilterData" localSheetId="3" hidden="1">'ПОКАЗАТЕЛИ ПТП '!$A$1:$M$65</definedName>
    <definedName name="Z_7BC33F16_0A52_48FA_9587_E7C66DF4A2C2_.wvu.FilterData" localSheetId="3" hidden="1">'ПОКАЗАТЕЛИ ПТП '!$A$1:$M$65</definedName>
    <definedName name="Z_7C398563_66C1_4EF6_BC12_42FA6233B0B8_.wvu.FilterData" localSheetId="3" hidden="1">'ПОКАЗАТЕЛИ ПТП '!$A$1:$M$65</definedName>
    <definedName name="Z_7E4C5ABB_6A83_448F_97BF_009D8C7CCFE4_.wvu.FilterData" localSheetId="3" hidden="1">'ПОКАЗАТЕЛИ ПТП '!$A$1:$M$65</definedName>
    <definedName name="Z_7F2EA1C4_55AA_4612_84FA_501681582C12_.wvu.FilterData" localSheetId="3" hidden="1">'ПОКАЗАТЕЛИ ПТП '!$A$1:$M$65</definedName>
    <definedName name="Z_7FBA698A_B4F9_473C_A697_22EC99EC7386_.wvu.Cols" localSheetId="8" hidden="1">П3_Наука_Хоризонт!$N:$O</definedName>
    <definedName name="Z_7FBA698A_B4F9_473C_A697_22EC99EC7386_.wvu.FilterData" localSheetId="3" hidden="1">'ПОКАЗАТЕЛИ ПТП '!$A$1:$M$73</definedName>
    <definedName name="Z_7FBA698A_B4F9_473C_A697_22EC99EC7386_.wvu.PrintArea" localSheetId="2" hidden="1">'ОПНО_визия евро'!$A$1:$O$30</definedName>
    <definedName name="Z_7FBA698A_B4F9_473C_A697_22EC99EC7386_.wvu.PrintArea" localSheetId="7" hidden="1">'П3_Наука Изследвания'!$A$1:$M$14</definedName>
    <definedName name="Z_7FBA698A_B4F9_473C_A697_22EC99EC7386_.wvu.PrintArea" localSheetId="6" hidden="1">П3_Наука_Инфраструктура!$A$1:$L$16</definedName>
    <definedName name="Z_7FBA698A_B4F9_473C_A697_22EC99EC7386_.wvu.PrintArea" localSheetId="8" hidden="1">П3_Наука_Хоризонт!$A$1:$M$18</definedName>
    <definedName name="Z_7FBA698A_B4F9_473C_A697_22EC99EC7386_.wvu.PrintArea" localSheetId="3" hidden="1">'ПОКАЗАТЕЛИ ПТП '!$A$1:$F$65</definedName>
    <definedName name="Z_7FBA698A_B4F9_473C_A697_22EC99EC7386_.wvu.PrintArea" localSheetId="1" hidden="1">'Финансов план на ПТП'!$A$2:$M$18</definedName>
    <definedName name="Z_7FBA698A_B4F9_473C_A697_22EC99EC7386_.wvu.PrintArea" localSheetId="0" hidden="1">'Финансови бюджетни '!$A$4:$L$8</definedName>
    <definedName name="Z_84A71B46_60CD_407A_89F3_857B06992E7A_.wvu.FilterData" localSheetId="3" hidden="1">'ПОКАЗАТЕЛИ ПТП '!$A$1:$M$65</definedName>
    <definedName name="Z_865CDE92_7D88_495D_90A0_9A0951E8EE5B_.wvu.FilterData" localSheetId="3" hidden="1">'ПОКАЗАТЕЛИ ПТП '!$A$1:$M$65</definedName>
    <definedName name="Z_872D2DA5_7BEF_480F_BD4A_211DAFB5A8E3_.wvu.FilterData" localSheetId="3" hidden="1">'ПОКАЗАТЕЛИ ПТП '!$A$1:$M$65</definedName>
    <definedName name="Z_878BA027_57A8_44BE_B4C6_7E97B44F94A2_.wvu.FilterData" localSheetId="3" hidden="1">'ПОКАЗАТЕЛИ ПТП '!$A$1:$M$65</definedName>
    <definedName name="Z_88974E4A_2D2B_42DC_8EA2_54A59A77B0D5_.wvu.FilterData" localSheetId="3" hidden="1">'ПОКАЗАТЕЛИ ПТП '!$A$1:$M$65</definedName>
    <definedName name="Z_8AB8B59D_AA09_4081_BE27_99D08A07BA31_.wvu.FilterData" localSheetId="3" hidden="1">'ПОКАЗАТЕЛИ ПТП '!$A$1:$M$65</definedName>
    <definedName name="Z_8B6D65BC_AB77_4F9F_BB5E_C848F5C1D363_.wvu.FilterData" localSheetId="3" hidden="1">'ПОКАЗАТЕЛИ ПТП '!$A$1:$M$65</definedName>
    <definedName name="Z_8F340EDE_FB25_4830_AA64_0CB34D06C1E0_.wvu.FilterData" localSheetId="3" hidden="1">'ПОКАЗАТЕЛИ ПТП '!$A$1:$M$65</definedName>
    <definedName name="Z_9180A044_BC68_4F4E_8E32_4F4879630C5D_.wvu.FilterData" localSheetId="3" hidden="1">'ПОКАЗАТЕЛИ ПТП '!$A$1:$M$65</definedName>
    <definedName name="Z_91AF3DAF_3A21_4047_95E4_323BC50341B9_.wvu.FilterData" localSheetId="3" hidden="1">'ПОКАЗАТЕЛИ ПТП '!$A$1:$M$65</definedName>
    <definedName name="Z_967C2AF1_5EDF_4EFB_9B6E_F068F0A377ED_.wvu.FilterData" localSheetId="3" hidden="1">'ПОКАЗАТЕЛИ ПТП '!$A$1:$M$65</definedName>
    <definedName name="Z_97473967_553B_4F9C_B199_B080F6D50764_.wvu.FilterData" localSheetId="3" hidden="1">'ПОКАЗАТЕЛИ ПТП '!$A$2:$F$57</definedName>
    <definedName name="Z_98583CFF_58DC_4FB4_88DF_28748AEF91F6_.wvu.FilterData" localSheetId="3" hidden="1">'ПОКАЗАТЕЛИ ПТП '!$A$1:$M$65</definedName>
    <definedName name="Z_98FCE1DD_8BAE_472D_9734_AEB84FC63C88_.wvu.FilterData" localSheetId="3" hidden="1">'ПОКАЗАТЕЛИ ПТП '!$A$1:$M$65</definedName>
    <definedName name="Z_9CB77FEE_E4A3_4A18_85E7_45FCDC188FE9_.wvu.FilterData" localSheetId="3" hidden="1">'ПОКАЗАТЕЛИ ПТП '!$A$1:$M$65</definedName>
    <definedName name="Z_9CD5F6CE_0E1C_42DA_A598_93523B740CBC_.wvu.Cols" localSheetId="8" hidden="1">П3_Наука_Хоризонт!$N:$O</definedName>
    <definedName name="Z_9CD5F6CE_0E1C_42DA_A598_93523B740CBC_.wvu.FilterData" localSheetId="3" hidden="1">'ПОКАЗАТЕЛИ ПТП '!$A$2:$F$57</definedName>
    <definedName name="Z_9CD5F6CE_0E1C_42DA_A598_93523B740CBC_.wvu.PrintArea" localSheetId="2" hidden="1">'ОПНО_визия евро'!$A$1:$O$30</definedName>
    <definedName name="Z_9CD5F6CE_0E1C_42DA_A598_93523B740CBC_.wvu.PrintArea" localSheetId="7" hidden="1">'П3_Наука Изследвания'!$A$1:$M$14</definedName>
    <definedName name="Z_9CD5F6CE_0E1C_42DA_A598_93523B740CBC_.wvu.PrintArea" localSheetId="6" hidden="1">П3_Наука_Инфраструктура!$A$1:$L$16</definedName>
    <definedName name="Z_9CD5F6CE_0E1C_42DA_A598_93523B740CBC_.wvu.PrintArea" localSheetId="8" hidden="1">П3_Наука_Хоризонт!$A$1:$M$18</definedName>
    <definedName name="Z_9CD5F6CE_0E1C_42DA_A598_93523B740CBC_.wvu.PrintArea" localSheetId="1" hidden="1">'Финансов план на ПТП'!$A$2:$M$18</definedName>
    <definedName name="Z_9CD5F6CE_0E1C_42DA_A598_93523B740CBC_.wvu.PrintArea" localSheetId="0" hidden="1">'Финансови бюджетни '!$A$4:$L$8</definedName>
    <definedName name="Z_9CF8157C_F9C6_42F2_BC91_4E0E92F3E150_.wvu.FilterData" localSheetId="3" hidden="1">'ПОКАЗАТЕЛИ ПТП '!$A$1:$M$65</definedName>
    <definedName name="Z_A258819D_1B77_4856_A4E1_9B3140AD5721_.wvu.FilterData" localSheetId="3" hidden="1">'ПОКАЗАТЕЛИ ПТП '!$A$1:$M$73</definedName>
    <definedName name="Z_A44EDE4C_7411_45F3_9DDB_5D396C6F8E30_.wvu.FilterData" localSheetId="3" hidden="1">'ПОКАЗАТЕЛИ ПТП '!$A$1:$M$65</definedName>
    <definedName name="Z_A47A44D7_E2B5_46C7_A48C_49088F2604E0_.wvu.FilterData" localSheetId="3" hidden="1">'ПОКАЗАТЕЛИ ПТП '!$A$1:$M$65</definedName>
    <definedName name="Z_A5E45A22_7E45_4C8C_90B4_681EA05978BA_.wvu.FilterData" localSheetId="3" hidden="1">'ПОКАЗАТЕЛИ ПТП '!$A$1:$M$65</definedName>
    <definedName name="Z_A92C6647_AB29_4B6A_AC26_5A7AE5C58888_.wvu.FilterData" localSheetId="3" hidden="1">'ПОКАЗАТЕЛИ ПТП '!$A$1:$M$65</definedName>
    <definedName name="Z_A9E76DC5_461B_4C57_B245_F038800639FE_.wvu.FilterData" localSheetId="3" hidden="1">'ПОКАЗАТЕЛИ ПТП '!$A$1:$M$65</definedName>
    <definedName name="Z_AB278974_DE54_492A_9691_AEB99B62A374_.wvu.FilterData" localSheetId="3" hidden="1">'ПОКАЗАТЕЛИ ПТП '!$A$1:$M$65</definedName>
    <definedName name="Z_ACEB7F85_A977_4456_AFE3_A35E17DA1D56_.wvu.FilterData" localSheetId="3" hidden="1">'ПОКАЗАТЕЛИ ПТП '!$A$1:$M$65</definedName>
    <definedName name="Z_AD504361_49F3_4986_BDBF_FB73E2299976_.wvu.Cols" localSheetId="8" hidden="1">П3_Наука_Хоризонт!$N:$O</definedName>
    <definedName name="Z_AD504361_49F3_4986_BDBF_FB73E2299976_.wvu.FilterData" localSheetId="3" hidden="1">'ПОКАЗАТЕЛИ ПТП '!$A$1:$M$73</definedName>
    <definedName name="Z_AD504361_49F3_4986_BDBF_FB73E2299976_.wvu.PrintArea" localSheetId="2" hidden="1">'ОПНО_визия евро'!$A$1:$O$30</definedName>
    <definedName name="Z_AD504361_49F3_4986_BDBF_FB73E2299976_.wvu.PrintArea" localSheetId="7" hidden="1">'П3_Наука Изследвания'!$A$1:$M$14</definedName>
    <definedName name="Z_AD504361_49F3_4986_BDBF_FB73E2299976_.wvu.PrintArea" localSheetId="6" hidden="1">П3_Наука_Инфраструктура!$A$1:$L$16</definedName>
    <definedName name="Z_AD504361_49F3_4986_BDBF_FB73E2299976_.wvu.PrintArea" localSheetId="8" hidden="1">П3_Наука_Хоризонт!$A$1:$M$18</definedName>
    <definedName name="Z_AD504361_49F3_4986_BDBF_FB73E2299976_.wvu.PrintArea" localSheetId="3" hidden="1">'ПОКАЗАТЕЛИ ПТП '!$A$1:$F$65</definedName>
    <definedName name="Z_AD504361_49F3_4986_BDBF_FB73E2299976_.wvu.PrintArea" localSheetId="1" hidden="1">'Финансов план на ПТП'!$A$2:$M$18</definedName>
    <definedName name="Z_AD504361_49F3_4986_BDBF_FB73E2299976_.wvu.PrintArea" localSheetId="0" hidden="1">'Финансови бюджетни '!$A$4:$L$8</definedName>
    <definedName name="Z_ADE2AED5_CCF6_4A00_B664_C2C49B9BEF5C_.wvu.FilterData" localSheetId="3" hidden="1">'ПОКАЗАТЕЛИ ПТП '!$A$1:$M$65</definedName>
    <definedName name="Z_AFB558D7_B68D_403E_9CDE_53616F2B37D7_.wvu.FilterData" localSheetId="3" hidden="1">'ПОКАЗАТЕЛИ ПТП '!$A$1:$M$65</definedName>
    <definedName name="Z_B1A1AEA2_F407_4A00_872D_F8AA3FCCAB28_.wvu.FilterData" localSheetId="3" hidden="1">'ПОКАЗАТЕЛИ ПТП '!$A$1:$M$65</definedName>
    <definedName name="Z_B2580134_98E8_447F_87D8_04F8DB5252C2_.wvu.FilterData" localSheetId="3" hidden="1">'ПОКАЗАТЕЛИ ПТП '!$A$2:$F$57</definedName>
    <definedName name="Z_B3762A0B_85CA_444A_8DD2_564EE243944D_.wvu.FilterData" localSheetId="3" hidden="1">'ПОКАЗАТЕЛИ ПТП '!$A$1:$M$65</definedName>
    <definedName name="Z_B426F9F8_EB1A_4D7B_9478_7E22D414CC12_.wvu.Cols" localSheetId="8" hidden="1">П3_Наука_Хоризонт!$N:$O</definedName>
    <definedName name="Z_B426F9F8_EB1A_4D7B_9478_7E22D414CC12_.wvu.FilterData" localSheetId="4" hidden="1">'Подробно разпределение '!$A$2:$AD$24</definedName>
    <definedName name="Z_B426F9F8_EB1A_4D7B_9478_7E22D414CC12_.wvu.FilterData" localSheetId="3" hidden="1">'ПОКАЗАТЕЛИ ПТП '!$A$1:$M$73</definedName>
    <definedName name="Z_B426F9F8_EB1A_4D7B_9478_7E22D414CC12_.wvu.PrintArea" localSheetId="2" hidden="1">'ОПНО_визия евро'!$A$1:$O$30</definedName>
    <definedName name="Z_B426F9F8_EB1A_4D7B_9478_7E22D414CC12_.wvu.PrintArea" localSheetId="7" hidden="1">'П3_Наука Изследвания'!$A$1:$M$14</definedName>
    <definedName name="Z_B426F9F8_EB1A_4D7B_9478_7E22D414CC12_.wvu.PrintArea" localSheetId="6" hidden="1">П3_Наука_Инфраструктура!$A$1:$L$16</definedName>
    <definedName name="Z_B426F9F8_EB1A_4D7B_9478_7E22D414CC12_.wvu.PrintArea" localSheetId="8" hidden="1">П3_Наука_Хоризонт!$A$1:$M$18</definedName>
    <definedName name="Z_B426F9F8_EB1A_4D7B_9478_7E22D414CC12_.wvu.PrintArea" localSheetId="3" hidden="1">'ПОКАЗАТЕЛИ ПТП '!$A$1:$F$65</definedName>
    <definedName name="Z_B426F9F8_EB1A_4D7B_9478_7E22D414CC12_.wvu.PrintArea" localSheetId="1" hidden="1">'Финансов план на ПТП'!$A$2:$M$18</definedName>
    <definedName name="Z_B426F9F8_EB1A_4D7B_9478_7E22D414CC12_.wvu.PrintArea" localSheetId="0" hidden="1">'Финансови бюджетни '!$A$4:$L$8</definedName>
    <definedName name="Z_B4CD06E5_0F7A_4CD2_A1B8_48ECAD5ED7A0_.wvu.FilterData" localSheetId="3" hidden="1">'ПОКАЗАТЕЛИ ПТП '!$A$1:$M$73</definedName>
    <definedName name="Z_B51586A5_537D_4B84_901E_178643F0D236_.wvu.FilterData" localSheetId="3" hidden="1">'ПОКАЗАТЕЛИ ПТП '!$A$1:$M$65</definedName>
    <definedName name="Z_B5DDA91F_EC18_4D67_A347_1883CDE2FFF4_.wvu.FilterData" localSheetId="3" hidden="1">'ПОКАЗАТЕЛИ ПТП '!$A$1:$M$65</definedName>
    <definedName name="Z_B777B674_73ED_4225_A0AA_917FDFF5A819_.wvu.Cols" localSheetId="8" hidden="1">П3_Наука_Хоризонт!$N:$O</definedName>
    <definedName name="Z_B777B674_73ED_4225_A0AA_917FDFF5A819_.wvu.FilterData" localSheetId="4" hidden="1">'Подробно разпределение '!$A$2:$AD$24</definedName>
    <definedName name="Z_B777B674_73ED_4225_A0AA_917FDFF5A819_.wvu.FilterData" localSheetId="3" hidden="1">'ПОКАЗАТЕЛИ ПТП '!$A$1:$M$73</definedName>
    <definedName name="Z_B777B674_73ED_4225_A0AA_917FDFF5A819_.wvu.PrintArea" localSheetId="2" hidden="1">'ОПНО_визия евро'!$A$1:$O$30</definedName>
    <definedName name="Z_B777B674_73ED_4225_A0AA_917FDFF5A819_.wvu.PrintArea" localSheetId="7" hidden="1">'П3_Наука Изследвания'!$A$1:$M$14</definedName>
    <definedName name="Z_B777B674_73ED_4225_A0AA_917FDFF5A819_.wvu.PrintArea" localSheetId="6" hidden="1">П3_Наука_Инфраструктура!$A$1:$L$16</definedName>
    <definedName name="Z_B777B674_73ED_4225_A0AA_917FDFF5A819_.wvu.PrintArea" localSheetId="8" hidden="1">П3_Наука_Хоризонт!$A$1:$M$18</definedName>
    <definedName name="Z_B777B674_73ED_4225_A0AA_917FDFF5A819_.wvu.PrintArea" localSheetId="3" hidden="1">'ПОКАЗАТЕЛИ ПТП '!$A$1:$L$75</definedName>
    <definedName name="Z_B777B674_73ED_4225_A0AA_917FDFF5A819_.wvu.PrintArea" localSheetId="1" hidden="1">'Финансов план на ПТП'!$A$2:$M$18</definedName>
    <definedName name="Z_B777B674_73ED_4225_A0AA_917FDFF5A819_.wvu.PrintArea" localSheetId="0" hidden="1">'Финансови бюджетни '!$A$4:$L$8</definedName>
    <definedName name="Z_BA49FD0F_AB35_48A1_AD22_91FD674A6FB2_.wvu.FilterData" localSheetId="3" hidden="1">'ПОКАЗАТЕЛИ ПТП '!$A$1:$M$65</definedName>
    <definedName name="Z_C045550C_87F3_453F_B207_735FDF4C6AEC_.wvu.FilterData" localSheetId="3" hidden="1">'ПОКАЗАТЕЛИ ПТП '!$A$1:$M$65</definedName>
    <definedName name="Z_C2AD75A7_2631_4E7D_942F_B2AB060AAA09_.wvu.FilterData" localSheetId="3" hidden="1">'ПОКАЗАТЕЛИ ПТП '!$A$1:$M$65</definedName>
    <definedName name="Z_C6B8F34A_F1E4_4D67_A924_DA21D14BBA7E_.wvu.FilterData" localSheetId="3" hidden="1">'ПОКАЗАТЕЛИ ПТП '!$A$1:$M$65</definedName>
    <definedName name="Z_C6DB5879_32A9_403F_864A_4BAA95BB7747_.wvu.FilterData" localSheetId="3" hidden="1">'ПОКАЗАТЕЛИ ПТП '!$A$1:$M$65</definedName>
    <definedName name="Z_C6F190A0_1065_4334_BB3D_A201C52D19BC_.wvu.FilterData" localSheetId="3" hidden="1">'ПОКАЗАТЕЛИ ПТП '!$A$1:$M$65</definedName>
    <definedName name="Z_CD0DA7C6_AE0D_4D8C_8DEC_9E1E1BD6C5A7_.wvu.FilterData" localSheetId="3" hidden="1">'ПОКАЗАТЕЛИ ПТП '!$A$1:$M$65</definedName>
    <definedName name="Z_CDFE6D91_C19B_4A37_8497_E1930B99F06E_.wvu.FilterData" localSheetId="3" hidden="1">'ПОКАЗАТЕЛИ ПТП '!$A$1:$M$65</definedName>
    <definedName name="Z_CE577872_512D_4445_82A3_E45C406A456B_.wvu.FilterData" localSheetId="3" hidden="1">'ПОКАЗАТЕЛИ ПТП '!$A$1:$M$65</definedName>
    <definedName name="Z_D1764B63_B88F_4276_A634_B6297D05F3AB_.wvu.FilterData" localSheetId="3" hidden="1">'ПОКАЗАТЕЛИ ПТП '!$A$1:$M$73</definedName>
    <definedName name="Z_D1BD168D_40B4_46AB_88B7_64C22520CFA0_.wvu.Cols" localSheetId="8" hidden="1">П3_Наука_Хоризонт!$N:$O</definedName>
    <definedName name="Z_D1BD168D_40B4_46AB_88B7_64C22520CFA0_.wvu.FilterData" localSheetId="3" hidden="1">'ПОКАЗАТЕЛИ ПТП '!$A$1:$M$65</definedName>
    <definedName name="Z_D1BD168D_40B4_46AB_88B7_64C22520CFA0_.wvu.PrintArea" localSheetId="2" hidden="1">'ОПНО_визия евро'!$A$1:$O$30</definedName>
    <definedName name="Z_D1BD168D_40B4_46AB_88B7_64C22520CFA0_.wvu.PrintArea" localSheetId="7" hidden="1">'П3_Наука Изследвания'!$A$1:$M$14</definedName>
    <definedName name="Z_D1BD168D_40B4_46AB_88B7_64C22520CFA0_.wvu.PrintArea" localSheetId="6" hidden="1">П3_Наука_Инфраструктура!$A$1:$L$16</definedName>
    <definedName name="Z_D1BD168D_40B4_46AB_88B7_64C22520CFA0_.wvu.PrintArea" localSheetId="8" hidden="1">П3_Наука_Хоризонт!$A$1:$M$18</definedName>
    <definedName name="Z_D1BD168D_40B4_46AB_88B7_64C22520CFA0_.wvu.PrintArea" localSheetId="3" hidden="1">'ПОКАЗАТЕЛИ ПТП '!$A$1:$F$65</definedName>
    <definedName name="Z_D1BD168D_40B4_46AB_88B7_64C22520CFA0_.wvu.PrintArea" localSheetId="1" hidden="1">'Финансов план на ПТП'!$A$2:$M$18</definedName>
    <definedName name="Z_D1BD168D_40B4_46AB_88B7_64C22520CFA0_.wvu.PrintArea" localSheetId="0" hidden="1">'Финансови бюджетни '!$A$4:$L$8</definedName>
    <definedName name="Z_D55A2AC3_0B6C_43D7_B147_934C8D1C734D_.wvu.FilterData" localSheetId="3" hidden="1">'ПОКАЗАТЕЛИ ПТП '!$A$1:$M$65</definedName>
    <definedName name="Z_D9DEA245_E231_4080_A4D0_FA9FB96DEAC7_.wvu.FilterData" localSheetId="3" hidden="1">'ПОКАЗАТЕЛИ ПТП '!$A$1:$M$65</definedName>
    <definedName name="Z_DBD059FC_E21C_4532_B008_88F77AB2724E_.wvu.FilterData" localSheetId="3" hidden="1">'ПОКАЗАТЕЛИ ПТП '!$A$1:$M$65</definedName>
    <definedName name="Z_DCE53AB0_D536_4F68_9C51_8F24A0125ED3_.wvu.FilterData" localSheetId="3" hidden="1">'ПОКАЗАТЕЛИ ПТП '!$A$1:$F$65</definedName>
    <definedName name="Z_DD0EA6D3_BC8C_40D3_B12F_B88059C8E3DC_.wvu.Cols" localSheetId="8" hidden="1">П3_Наука_Хоризонт!$N:$O</definedName>
    <definedName name="Z_DD0EA6D3_BC8C_40D3_B12F_B88059C8E3DC_.wvu.FilterData" localSheetId="3" hidden="1">'ПОКАЗАТЕЛИ ПТП '!$A$1:$M$73</definedName>
    <definedName name="Z_DD0EA6D3_BC8C_40D3_B12F_B88059C8E3DC_.wvu.PrintArea" localSheetId="2" hidden="1">'ОПНО_визия евро'!$A$1:$O$30</definedName>
    <definedName name="Z_DD0EA6D3_BC8C_40D3_B12F_B88059C8E3DC_.wvu.PrintArea" localSheetId="7" hidden="1">'П3_Наука Изследвания'!$A$1:$M$14</definedName>
    <definedName name="Z_DD0EA6D3_BC8C_40D3_B12F_B88059C8E3DC_.wvu.PrintArea" localSheetId="6" hidden="1">П3_Наука_Инфраструктура!$A$1:$L$16</definedName>
    <definedName name="Z_DD0EA6D3_BC8C_40D3_B12F_B88059C8E3DC_.wvu.PrintArea" localSheetId="8" hidden="1">П3_Наука_Хоризонт!$A$1:$M$18</definedName>
    <definedName name="Z_DD0EA6D3_BC8C_40D3_B12F_B88059C8E3DC_.wvu.PrintArea" localSheetId="3" hidden="1">'ПОКАЗАТЕЛИ ПТП '!$A$1:$F$65</definedName>
    <definedName name="Z_DD0EA6D3_BC8C_40D3_B12F_B88059C8E3DC_.wvu.PrintArea" localSheetId="1" hidden="1">'Финансов план на ПТП'!$A$2:$M$18</definedName>
    <definedName name="Z_DD0EA6D3_BC8C_40D3_B12F_B88059C8E3DC_.wvu.PrintArea" localSheetId="0" hidden="1">'Финансови бюджетни '!$A$4:$L$8</definedName>
    <definedName name="Z_DE1004AE_EE6B_445B_9B87_77176E699CEC_.wvu.Cols" localSheetId="8" hidden="1">П3_Наука_Хоризонт!$N:$O</definedName>
    <definedName name="Z_DE1004AE_EE6B_445B_9B87_77176E699CEC_.wvu.FilterData" localSheetId="4" hidden="1">'Подробно разпределение '!$A$2:$AD$24</definedName>
    <definedName name="Z_DE1004AE_EE6B_445B_9B87_77176E699CEC_.wvu.FilterData" localSheetId="3" hidden="1">'ПОКАЗАТЕЛИ ПТП '!$A$1:$M$73</definedName>
    <definedName name="Z_DE1004AE_EE6B_445B_9B87_77176E699CEC_.wvu.PrintArea" localSheetId="2" hidden="1">'ОПНО_визия евро'!$A$1:$O$30</definedName>
    <definedName name="Z_DE1004AE_EE6B_445B_9B87_77176E699CEC_.wvu.PrintArea" localSheetId="7" hidden="1">'П3_Наука Изследвания'!$A$1:$M$14</definedName>
    <definedName name="Z_DE1004AE_EE6B_445B_9B87_77176E699CEC_.wvu.PrintArea" localSheetId="6" hidden="1">П3_Наука_Инфраструктура!$A$1:$L$16</definedName>
    <definedName name="Z_DE1004AE_EE6B_445B_9B87_77176E699CEC_.wvu.PrintArea" localSheetId="8" hidden="1">П3_Наука_Хоризонт!$A$1:$M$18</definedName>
    <definedName name="Z_DE1004AE_EE6B_445B_9B87_77176E699CEC_.wvu.PrintArea" localSheetId="3" hidden="1">'ПОКАЗАТЕЛИ ПТП '!$A$1:$L$75</definedName>
    <definedName name="Z_DE1004AE_EE6B_445B_9B87_77176E699CEC_.wvu.PrintArea" localSheetId="1" hidden="1">'Финансов план на ПТП'!$A$2:$M$18</definedName>
    <definedName name="Z_DE1004AE_EE6B_445B_9B87_77176E699CEC_.wvu.PrintArea" localSheetId="0" hidden="1">'Финансови бюджетни '!$A$4:$L$8</definedName>
    <definedName name="Z_DE419AE1_55C7_41E8_9A94_E4062EF30970_.wvu.Cols" localSheetId="8" hidden="1">П3_Наука_Хоризонт!$N:$O</definedName>
    <definedName name="Z_DE419AE1_55C7_41E8_9A94_E4062EF30970_.wvu.FilterData" localSheetId="3" hidden="1">'ПОКАЗАТЕЛИ ПТП '!$A$1:$M$73</definedName>
    <definedName name="Z_DE419AE1_55C7_41E8_9A94_E4062EF30970_.wvu.PrintArea" localSheetId="2" hidden="1">'ОПНО_визия евро'!$A$1:$O$30</definedName>
    <definedName name="Z_DE419AE1_55C7_41E8_9A94_E4062EF30970_.wvu.PrintArea" localSheetId="7" hidden="1">'П3_Наука Изследвания'!$A$1:$M$14</definedName>
    <definedName name="Z_DE419AE1_55C7_41E8_9A94_E4062EF30970_.wvu.PrintArea" localSheetId="6" hidden="1">П3_Наука_Инфраструктура!$A$1:$L$16</definedName>
    <definedName name="Z_DE419AE1_55C7_41E8_9A94_E4062EF30970_.wvu.PrintArea" localSheetId="8" hidden="1">П3_Наука_Хоризонт!$A$1:$M$18</definedName>
    <definedName name="Z_DE419AE1_55C7_41E8_9A94_E4062EF30970_.wvu.PrintArea" localSheetId="3" hidden="1">'ПОКАЗАТЕЛИ ПТП '!$A$1:$F$65</definedName>
    <definedName name="Z_DE419AE1_55C7_41E8_9A94_E4062EF30970_.wvu.PrintArea" localSheetId="1" hidden="1">'Финансов план на ПТП'!$A$2:$M$18</definedName>
    <definedName name="Z_DE419AE1_55C7_41E8_9A94_E4062EF30970_.wvu.PrintArea" localSheetId="0" hidden="1">'Финансови бюджетни '!$A$4:$L$8</definedName>
    <definedName name="Z_DF2C4FDE_E1F5_4237_AAD0_8EC7F5D509D3_.wvu.FilterData" localSheetId="3" hidden="1">'ПОКАЗАТЕЛИ ПТП '!$A$1:$M$65</definedName>
    <definedName name="Z_DFC16DFA_D513_4368_8B92_9E363A26CBAC_.wvu.FilterData" localSheetId="3" hidden="1">'ПОКАЗАТЕЛИ ПТП '!$A$1:$F$65</definedName>
    <definedName name="Z_E02E7249_07F4_422F_A943_309A7F33CE91_.wvu.FilterData" localSheetId="3" hidden="1">'ПОКАЗАТЕЛИ ПТП '!$A$1:$M$73</definedName>
    <definedName name="Z_E07B67F4_8A17_4050_B9B8_81977BCB02E2_.wvu.Cols" localSheetId="8" hidden="1">П3_Наука_Хоризонт!$N:$O</definedName>
    <definedName name="Z_E07B67F4_8A17_4050_B9B8_81977BCB02E2_.wvu.Cols" localSheetId="3" hidden="1">'ПОКАЗАТЕЛИ ПТП '!#REF!</definedName>
    <definedName name="Z_E07B67F4_8A17_4050_B9B8_81977BCB02E2_.wvu.FilterData" localSheetId="3" hidden="1">'ПОКАЗАТЕЛИ ПТП '!$A$2:$F$57</definedName>
    <definedName name="Z_E07B67F4_8A17_4050_B9B8_81977BCB02E2_.wvu.PrintArea" localSheetId="2" hidden="1">'ОПНО_визия евро'!$A$1:$O$30</definedName>
    <definedName name="Z_E07B67F4_8A17_4050_B9B8_81977BCB02E2_.wvu.PrintArea" localSheetId="7" hidden="1">'П3_Наука Изследвания'!$A$1:$M$14</definedName>
    <definedName name="Z_E07B67F4_8A17_4050_B9B8_81977BCB02E2_.wvu.PrintArea" localSheetId="6" hidden="1">П3_Наука_Инфраструктура!$A$1:$L$16</definedName>
    <definedName name="Z_E07B67F4_8A17_4050_B9B8_81977BCB02E2_.wvu.PrintArea" localSheetId="8" hidden="1">П3_Наука_Хоризонт!$A$1:$M$18</definedName>
    <definedName name="Z_E07B67F4_8A17_4050_B9B8_81977BCB02E2_.wvu.PrintArea" localSheetId="3" hidden="1">'ПОКАЗАТЕЛИ ПТП '!$A$1:$F$39</definedName>
    <definedName name="Z_E07B67F4_8A17_4050_B9B8_81977BCB02E2_.wvu.PrintArea" localSheetId="1" hidden="1">'Финансов план на ПТП'!$A$2:$M$18</definedName>
    <definedName name="Z_E07B67F4_8A17_4050_B9B8_81977BCB02E2_.wvu.PrintArea" localSheetId="0" hidden="1">'Финансови бюджетни '!$A$4:$L$8</definedName>
    <definedName name="Z_E5A8F870_8CE7_4427_AA04_39625D3E8CB8_.wvu.FilterData" localSheetId="3" hidden="1">'ПОКАЗАТЕЛИ ПТП '!$A$1:$M$73</definedName>
    <definedName name="Z_E8A18EBC_3424_406E_AAEE_4A906005FE15_.wvu.FilterData" localSheetId="3" hidden="1">'ПОКАЗАТЕЛИ ПТП '!$A$1:$M$73</definedName>
    <definedName name="Z_ECC2290F_3EDB_4B87_95E7_39D418B19680_.wvu.FilterData" localSheetId="3" hidden="1">'ПОКАЗАТЕЛИ ПТП '!$A$1:$M$65</definedName>
    <definedName name="Z_EF25795A_3B6F_4507_92B9_EAF5B0884E9E_.wvu.FilterData" localSheetId="3" hidden="1">'ПОКАЗАТЕЛИ ПТП '!$A$1:$M$65</definedName>
    <definedName name="Z_F055BC8A_093D_41C6_B580_0ABA34413A59_.wvu.FilterData" localSheetId="3" hidden="1">'ПОКАЗАТЕЛИ ПТП '!$A$1:$M$65</definedName>
    <definedName name="Z_F296FD54_9E2C_49C0_807F_4D606DDA42BB_.wvu.FilterData" localSheetId="3" hidden="1">'ПОКАЗАТЕЛИ ПТП '!$A$1:$M$65</definedName>
    <definedName name="Z_F51B41C0_1BD7_44BF_8205_E6650A4106D4_.wvu.FilterData" localSheetId="3" hidden="1">'ПОКАЗАТЕЛИ ПТП '!$A$1:$M$65</definedName>
    <definedName name="Z_F5FEA9DB_91E2_48FB_899C_702683241BF8_.wvu.FilterData" localSheetId="3" hidden="1">'ПОКАЗАТЕЛИ ПТП '!$A$1:$M$65</definedName>
    <definedName name="Z_F67C426D_26F1_4B15_961D_40AFD17A9EE3_.wvu.Cols" localSheetId="8" hidden="1">П3_Наука_Хоризонт!$N:$O</definedName>
    <definedName name="Z_F67C426D_26F1_4B15_961D_40AFD17A9EE3_.wvu.FilterData" localSheetId="4" hidden="1">'Подробно разпределение '!$A$2:$AD$24</definedName>
    <definedName name="Z_F67C426D_26F1_4B15_961D_40AFD17A9EE3_.wvu.FilterData" localSheetId="3" hidden="1">'ПОКАЗАТЕЛИ ПТП '!$A$1:$M$73</definedName>
    <definedName name="Z_F67C426D_26F1_4B15_961D_40AFD17A9EE3_.wvu.PrintArea" localSheetId="2" hidden="1">'ОПНО_визия евро'!$A$1:$O$30</definedName>
    <definedName name="Z_F67C426D_26F1_4B15_961D_40AFD17A9EE3_.wvu.PrintArea" localSheetId="7" hidden="1">'П3_Наука Изследвания'!$A$1:$M$14</definedName>
    <definedName name="Z_F67C426D_26F1_4B15_961D_40AFD17A9EE3_.wvu.PrintArea" localSheetId="6" hidden="1">П3_Наука_Инфраструктура!$A$1:$L$16</definedName>
    <definedName name="Z_F67C426D_26F1_4B15_961D_40AFD17A9EE3_.wvu.PrintArea" localSheetId="8" hidden="1">П3_Наука_Хоризонт!$A$1:$M$18</definedName>
    <definedName name="Z_F67C426D_26F1_4B15_961D_40AFD17A9EE3_.wvu.PrintArea" localSheetId="3" hidden="1">'ПОКАЗАТЕЛИ ПТП '!$A$1:$L$75</definedName>
    <definedName name="Z_F67C426D_26F1_4B15_961D_40AFD17A9EE3_.wvu.PrintArea" localSheetId="1" hidden="1">'Финансов план на ПТП'!$A$2:$M$18</definedName>
    <definedName name="Z_F67C426D_26F1_4B15_961D_40AFD17A9EE3_.wvu.PrintArea" localSheetId="0" hidden="1">'Финансови бюджетни '!$A$4:$L$8</definedName>
    <definedName name="Z_FBD83DB1_7D23_442D_AAFC_8EB3C39CCE98_.wvu.FilterData" localSheetId="3" hidden="1">'ПОКАЗАТЕЛИ ПТП '!$A$1:$M$65</definedName>
    <definedName name="Z_FE2955C0_88F2_4786_82CB_7C3712BA1FAE_.wvu.FilterData" localSheetId="3" hidden="1">'ПОКАЗАТЕЛИ ПТП '!$A$1:$M$65</definedName>
    <definedName name="Z_FF056BCE_8DD2_46C8_9A5C_CA39174333D6_.wvu.FilterData" localSheetId="3" hidden="1">'ПОКАЗАТЕЛИ ПТП '!$A$1:$M$65</definedName>
  </definedNames>
  <calcPr calcId="162913"/>
  <customWorkbookViews>
    <customWorkbookView name="Силвия Бъчева - Personal View" guid="{6BEE494D-3BDB-46C2-9750-A57C1F94B9B8}" mergeInterval="0" personalView="1" maximized="1" xWindow="-8" yWindow="-8" windowWidth="1936" windowHeight="1056" tabRatio="782" activeSheetId="2"/>
    <customWorkbookView name="Атанас Атанасов - Personal View" guid="{B426F9F8-EB1A-4D7B-9478-7E22D414CC12}" mergeInterval="0" personalView="1" maximized="1" xWindow="-8" yWindow="-8" windowWidth="1936" windowHeight="1056" tabRatio="782" activeSheetId="4"/>
    <customWorkbookView name="Елисавета Марашлиева-Нинова - Personal View" guid="{13EBDE9D-EC74-4522-9EED-363E735B4A78}" mergeInterval="0" personalView="1" maximized="1" xWindow="-8" yWindow="-8" windowWidth="1936" windowHeight="1056" tabRatio="782" activeSheetId="2"/>
    <customWorkbookView name="opgg user - Personal View" guid="{F67C426D-26F1-4B15-961D-40AFD17A9EE3}" mergeInterval="0" personalView="1" maximized="1" xWindow="-8" yWindow="-8" windowWidth="1936" windowHeight="1056" tabRatio="782" activeSheetId="4"/>
    <customWorkbookView name="Мариана Димитрова - Personal View" guid="{B777B674-73ED-4225-A0AA-917FDFF5A819}" mergeInterval="0" personalView="1" maximized="1" xWindow="-9" yWindow="-9" windowWidth="1938" windowHeight="1048" tabRatio="782" activeSheetId="5" showComments="commIndAndComment"/>
    <customWorkbookView name="Малина Николова - Personal View" guid="{DE1004AE-EE6B-445B-9B87-77176E699CEC}" mergeInterval="0" personalView="1" maximized="1" xWindow="-8" yWindow="-8" windowWidth="1936" windowHeight="1048" tabRatio="782" activeSheetId="4"/>
    <customWorkbookView name="УО на ОПДУ - Personal View" guid="{7FBA698A-B4F9-473C-A697-22EC99EC7386}" mergeInterval="0" personalView="1" maximized="1" xWindow="-8" yWindow="-8" windowWidth="1936" windowHeight="1056" tabRatio="782" activeSheetId="5"/>
    <customWorkbookView name="Калоян Митев - Personal View" guid="{53CF95D2-2F99-49E8-AB7F-7627DCDE0DC8}" mergeInterval="0" personalView="1" maximized="1" xWindow="-8" yWindow="-8" windowWidth="1936" windowHeight="1048" tabRatio="782" activeSheetId="5"/>
    <customWorkbookView name="Цветелина Соракова - Personal View" guid="{AD504361-49F3-4986-BDBF-FB73E2299976}" mergeInterval="0" personalView="1" maximized="1" xWindow="-8" yWindow="-8" windowWidth="1936" windowHeight="1056" tabRatio="782" activeSheetId="4"/>
    <customWorkbookView name="Programming &amp; Contracting Department, OPGG - Personal View" guid="{DD0EA6D3-BC8C-40D3-B12F-B88059C8E3DC}" mergeInterval="0" personalView="1" maximized="1" xWindow="-8" yWindow="-8" windowWidth="1936" windowHeight="1056" tabRatio="782" activeSheetId="4"/>
    <customWorkbookView name="Антон Шопов - Personal View" guid="{72B67681-E295-44ED-80A6-F4B618B242B1}" mergeInterval="0" changesSavedWin="1" personalView="1" includePrintSettings="0" includeHiddenRowCol="0" maximized="1" xWindow="-8" yWindow="-8" windowWidth="1936" windowHeight="1056" tabRatio="782" activeSheetId="4"/>
    <customWorkbookView name="Емилия Герджикова - Personal View" guid="{9CD5F6CE-0E1C-42DA-A598-93523B740CBC}" mergeInterval="0" personalView="1" xWindow="35" yWindow="34" windowWidth="1883" windowHeight="1007" tabRatio="782" activeSheetId="4"/>
    <customWorkbookView name="Даниела Николов - Personal View" guid="{E07B67F4-8A17-4050-B9B8-81977BCB02E2}" mergeInterval="0" personalView="1" maximized="1" xWindow="-8" yWindow="-8" windowWidth="1936" windowHeight="1056" tabRatio="782" activeSheetId="4"/>
    <customWorkbookView name="Managing Authority - Personal View" guid="{2A6315F5-C9A2-43A7-B337-00FD30A3EB26}" mergeInterval="0" personalView="1" maximized="1" xWindow="-8" yWindow="-8" windowWidth="1936" windowHeight="1056" tabRatio="782" activeSheetId="4"/>
    <customWorkbookView name="Managing Authority  - Personal View" guid="{D1BD168D-40B4-46AB-88B7-64C22520CFA0}" mergeInterval="0" personalView="1" maximized="1" xWindow="-8" yWindow="-8" windowWidth="1936" windowHeight="1056" tabRatio="782" activeSheetId="2"/>
    <customWorkbookView name="Мария  Христова - Personal View" guid="{56BC42A3-D967-4F27-BD5A-CB0B8CB7F657}" mergeInterval="0" personalView="1" maximized="1" xWindow="-8" yWindow="-8" windowWidth="1936" windowHeight="1056" tabRatio="782" activeSheetId="4"/>
    <customWorkbookView name="Daniela Nikolova - Personal View" guid="{DE419AE1-55C7-41E8-9A94-E4062EF30970}" mergeInterval="0" personalView="1" maximized="1" xWindow="-8" yWindow="-8" windowWidth="1936" windowHeight="1056" tabRatio="782" activeSheetId="4"/>
    <customWorkbookView name="user - Personal View" guid="{6B77031E-918C-40F9-A42D-E4EA46622624}" mergeInterval="0" personalView="1" maximized="1" xWindow="-9" yWindow="-9" windowWidth="1938" windowHeight="1048" tabRatio="782" activeSheetId="4"/>
    <customWorkbookView name="Полина Личева - Personal View" guid="{77799D3C-38E2-410A-80FA-AECD8E6AB89B}" mergeInterval="0" personalView="1" maximized="1" xWindow="-8" yWindow="-8" windowWidth="1936" windowHeight="1056" tabRatio="782" activeSheetId="4"/>
    <customWorkbookView name="Даниела Николова - Personal View" guid="{32A281B9-28FB-4D0E-8C01-BFBADAC8C3C9}" mergeInterval="0" personalView="1" maximized="1" xWindow="-8" yWindow="-8" windowWidth="1936" windowHeight="1056" tabRatio="782"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1" i="4" l="1"/>
  <c r="L80" i="4"/>
  <c r="K81" i="4"/>
  <c r="K80" i="4"/>
  <c r="K74" i="4"/>
  <c r="K88" i="4" l="1"/>
  <c r="K85" i="4"/>
  <c r="K82" i="4"/>
  <c r="S72" i="4" l="1"/>
  <c r="N72" i="4"/>
  <c r="K75" i="4" l="1"/>
  <c r="N11" i="2"/>
  <c r="N10" i="2"/>
  <c r="L75" i="4"/>
  <c r="L74" i="4"/>
  <c r="AD26" i="5" l="1"/>
  <c r="D69" i="4"/>
  <c r="D70" i="4" s="1"/>
  <c r="D71" i="4" s="1"/>
  <c r="L60" i="4" l="1"/>
  <c r="K60" i="4"/>
  <c r="L79" i="4" l="1"/>
  <c r="L69" i="4"/>
  <c r="L73" i="4"/>
  <c r="K69" i="4"/>
  <c r="D66" i="4"/>
  <c r="D67" i="4" s="1"/>
  <c r="D68" i="4" s="1"/>
  <c r="K91" i="4" l="1"/>
  <c r="K79" i="4"/>
  <c r="K73" i="4"/>
  <c r="P26" i="5"/>
  <c r="AD25" i="5"/>
  <c r="P25" i="5"/>
  <c r="C66" i="4" s="1"/>
  <c r="C69" i="4"/>
  <c r="C70" i="4" s="1"/>
  <c r="C71" i="4" s="1"/>
  <c r="AD3" i="5"/>
  <c r="P5" i="5" l="1"/>
  <c r="AD5" i="5"/>
  <c r="AD13" i="5"/>
  <c r="P13" i="5"/>
  <c r="AD4" i="5" l="1"/>
  <c r="M69" i="1" l="1"/>
  <c r="M68" i="1"/>
  <c r="K71" i="1"/>
  <c r="K66" i="1"/>
  <c r="K65" i="1"/>
  <c r="K64" i="1"/>
  <c r="K69" i="1" l="1"/>
  <c r="K74" i="1"/>
  <c r="K76" i="1" l="1"/>
  <c r="K32" i="1" l="1"/>
  <c r="L28" i="1" l="1"/>
  <c r="L27" i="1"/>
  <c r="N7" i="1" l="1"/>
  <c r="K9" i="1" l="1"/>
  <c r="J9" i="1"/>
  <c r="I9" i="1"/>
  <c r="H9" i="1"/>
  <c r="G9" i="1"/>
  <c r="F9" i="1"/>
  <c r="E9" i="1"/>
  <c r="D9" i="1"/>
  <c r="K28" i="1"/>
  <c r="J28" i="1"/>
  <c r="I28" i="1"/>
  <c r="H28" i="1"/>
  <c r="G28" i="1"/>
  <c r="F28" i="1"/>
  <c r="E28" i="1"/>
  <c r="K27" i="1"/>
  <c r="J27" i="1"/>
  <c r="I27" i="1"/>
  <c r="H27" i="1"/>
  <c r="G27" i="1"/>
  <c r="F27" i="1"/>
  <c r="E27" i="1"/>
  <c r="D28" i="1"/>
  <c r="D27" i="1"/>
  <c r="L9" i="1" l="1"/>
  <c r="F29" i="1"/>
  <c r="K29" i="1"/>
  <c r="J29" i="1"/>
  <c r="I29" i="1"/>
  <c r="G29" i="1"/>
  <c r="E29" i="1"/>
  <c r="H29" i="1"/>
  <c r="C29" i="1"/>
  <c r="D21" i="1"/>
  <c r="E21" i="1"/>
  <c r="F21" i="1"/>
  <c r="G21" i="1"/>
  <c r="H21" i="1"/>
  <c r="I21" i="1"/>
  <c r="J21" i="1"/>
  <c r="K21" i="1"/>
  <c r="C21" i="1"/>
  <c r="L20" i="1"/>
  <c r="L19" i="1"/>
  <c r="K36" i="2"/>
  <c r="I36" i="2"/>
  <c r="H36" i="2"/>
  <c r="J35" i="2"/>
  <c r="G35" i="2"/>
  <c r="M34" i="2"/>
  <c r="J34" i="2"/>
  <c r="J36" i="2" s="1"/>
  <c r="G34" i="2"/>
  <c r="G36" i="2" s="1"/>
  <c r="K31" i="1" l="1"/>
  <c r="K22" i="1"/>
  <c r="L21" i="1"/>
  <c r="D29" i="1"/>
  <c r="M35" i="2"/>
  <c r="M36" i="2" s="1"/>
  <c r="N36" i="2" s="1"/>
  <c r="N34" i="2"/>
  <c r="L29" i="1" l="1"/>
  <c r="N35" i="2"/>
  <c r="K89" i="4"/>
  <c r="L89" i="4"/>
  <c r="K90" i="4"/>
  <c r="L90" i="4"/>
  <c r="L88" i="4"/>
  <c r="K86" i="4"/>
  <c r="L86" i="4"/>
  <c r="K87" i="4"/>
  <c r="L87" i="4"/>
  <c r="L85" i="4"/>
  <c r="K83" i="4"/>
  <c r="L83" i="4"/>
  <c r="K84" i="4"/>
  <c r="L84" i="4"/>
  <c r="L82" i="4"/>
  <c r="L91" i="4" l="1"/>
  <c r="D30" i="1"/>
  <c r="L30" i="1"/>
  <c r="E30" i="1"/>
  <c r="G30" i="1"/>
  <c r="H30" i="1"/>
  <c r="F30" i="1"/>
  <c r="J30" i="1"/>
  <c r="P3" i="5" l="1"/>
  <c r="I11" i="2" l="1"/>
  <c r="N8" i="1" l="1"/>
  <c r="N9" i="1" s="1"/>
  <c r="AD20" i="5" l="1"/>
  <c r="P20" i="5"/>
  <c r="C54" i="4" s="1"/>
  <c r="D54" i="4"/>
  <c r="D55" i="4" s="1"/>
  <c r="C55" i="4" l="1"/>
  <c r="C56" i="4" s="1"/>
  <c r="D56" i="4"/>
  <c r="P17" i="5" l="1"/>
  <c r="C45" i="4" s="1"/>
  <c r="AD17" i="5"/>
  <c r="D45" i="4" s="1"/>
  <c r="P4" i="5" l="1"/>
  <c r="P6" i="5"/>
  <c r="AD6" i="5"/>
  <c r="P7" i="5"/>
  <c r="AD7" i="5"/>
  <c r="P8" i="5"/>
  <c r="AD8" i="5"/>
  <c r="D18" i="4" s="1"/>
  <c r="P9" i="5"/>
  <c r="AD9" i="5"/>
  <c r="P10" i="5"/>
  <c r="AD10" i="5"/>
  <c r="P11" i="5"/>
  <c r="AD11" i="5"/>
  <c r="P12" i="5"/>
  <c r="AD12" i="5"/>
  <c r="C13" i="5"/>
  <c r="D13" i="5"/>
  <c r="G13" i="5"/>
  <c r="H13" i="5"/>
  <c r="Q13" i="5"/>
  <c r="R13" i="5"/>
  <c r="U13" i="5"/>
  <c r="V13" i="5"/>
  <c r="C14" i="5"/>
  <c r="D14" i="5"/>
  <c r="E14" i="5"/>
  <c r="F14" i="5"/>
  <c r="H14" i="5"/>
  <c r="I14" i="5"/>
  <c r="Q14" i="5"/>
  <c r="AD14" i="5" s="1"/>
  <c r="R14" i="5"/>
  <c r="S14" i="5"/>
  <c r="T14" i="5"/>
  <c r="U14" i="5"/>
  <c r="V14" i="5"/>
  <c r="W14" i="5"/>
  <c r="P16" i="5"/>
  <c r="C42" i="4" s="1"/>
  <c r="AD16" i="5"/>
  <c r="D42" i="4" s="1"/>
  <c r="P18" i="5"/>
  <c r="AD18" i="5"/>
  <c r="P19" i="5"/>
  <c r="AD19" i="5"/>
  <c r="L21" i="5"/>
  <c r="P21" i="5"/>
  <c r="Z21" i="5"/>
  <c r="AD21" i="5"/>
  <c r="P22" i="5"/>
  <c r="AD22" i="5"/>
  <c r="P23" i="5"/>
  <c r="AD23" i="5"/>
  <c r="P24" i="5"/>
  <c r="AD24" i="5"/>
  <c r="D63" i="4" s="1"/>
  <c r="D65" i="4" l="1"/>
  <c r="D64" i="4"/>
  <c r="P14" i="5"/>
  <c r="C46" i="4" l="1"/>
  <c r="C47" i="4" s="1"/>
  <c r="D46" i="4" l="1"/>
  <c r="D47" i="4" s="1"/>
  <c r="I7" i="2" l="1"/>
  <c r="L7" i="2"/>
  <c r="O72" i="4" l="1"/>
  <c r="P72" i="4"/>
  <c r="Q72" i="4"/>
  <c r="R72" i="4"/>
  <c r="C39" i="4" l="1"/>
  <c r="D39" i="4" l="1"/>
  <c r="D6" i="4" l="1"/>
  <c r="D7" i="4" s="1"/>
  <c r="D8" i="4" s="1"/>
  <c r="D9" i="4"/>
  <c r="D10" i="4" s="1"/>
  <c r="D11" i="4" s="1"/>
  <c r="D30" i="4"/>
  <c r="D31" i="4" s="1"/>
  <c r="D32" i="4" s="1"/>
  <c r="D43" i="4"/>
  <c r="D44" i="4" s="1"/>
  <c r="D48" i="4"/>
  <c r="D49" i="4" s="1"/>
  <c r="D50" i="4" s="1"/>
  <c r="D51" i="4"/>
  <c r="D52" i="4" s="1"/>
  <c r="D53" i="4" s="1"/>
  <c r="D12" i="4"/>
  <c r="D13" i="4" s="1"/>
  <c r="D14" i="4" s="1"/>
  <c r="D21" i="4"/>
  <c r="D22" i="4" s="1"/>
  <c r="D23" i="4" s="1"/>
  <c r="D60" i="4"/>
  <c r="D61" i="4" s="1"/>
  <c r="D3" i="4"/>
  <c r="D4" i="4" s="1"/>
  <c r="D5" i="4" s="1"/>
  <c r="C6" i="4"/>
  <c r="C7" i="4" s="1"/>
  <c r="C8" i="4" s="1"/>
  <c r="C9" i="4"/>
  <c r="C10" i="4" s="1"/>
  <c r="C11" i="4" s="1"/>
  <c r="C18" i="4"/>
  <c r="C19" i="4" s="1"/>
  <c r="C20" i="4" s="1"/>
  <c r="C30" i="4"/>
  <c r="C31" i="4" s="1"/>
  <c r="C32" i="4" s="1"/>
  <c r="C43" i="4"/>
  <c r="C44" i="4" s="1"/>
  <c r="C48" i="4"/>
  <c r="C49" i="4" s="1"/>
  <c r="C50" i="4" s="1"/>
  <c r="C51" i="4"/>
  <c r="C52" i="4" s="1"/>
  <c r="C53" i="4" s="1"/>
  <c r="C12" i="4"/>
  <c r="C13" i="4" s="1"/>
  <c r="C14" i="4" s="1"/>
  <c r="C21" i="4"/>
  <c r="C22" i="4" s="1"/>
  <c r="C23" i="4" s="1"/>
  <c r="C60" i="4"/>
  <c r="C61" i="4" s="1"/>
  <c r="C62" i="4" s="1"/>
  <c r="C63" i="4"/>
  <c r="C3" i="4"/>
  <c r="C4" i="4" s="1"/>
  <c r="C5" i="4" s="1"/>
  <c r="C64" i="4" l="1"/>
  <c r="C65" i="4"/>
  <c r="C33" i="4"/>
  <c r="C34" i="4" s="1"/>
  <c r="C35" i="4" s="1"/>
  <c r="D33" i="4"/>
  <c r="D34" i="4" s="1"/>
  <c r="D35" i="4" s="1"/>
  <c r="D19" i="4" l="1"/>
  <c r="D20" i="4" s="1"/>
  <c r="J11" i="2" l="1"/>
  <c r="L8" i="1" l="1"/>
  <c r="O8" i="1" s="1"/>
  <c r="M8" i="1" l="1"/>
  <c r="G11" i="2"/>
  <c r="G10" i="2"/>
  <c r="L6" i="1"/>
  <c r="H11" i="2"/>
  <c r="H10" i="2"/>
  <c r="L7" i="1"/>
  <c r="M7" i="1" l="1"/>
  <c r="O7" i="1"/>
  <c r="G18" i="2"/>
  <c r="H18" i="2"/>
  <c r="I8" i="2" l="1"/>
  <c r="L8" i="2" l="1"/>
  <c r="M8" i="2" s="1"/>
  <c r="D57" i="4" l="1"/>
  <c r="D58" i="4" s="1"/>
  <c r="D59" i="4" s="1"/>
  <c r="D10" i="1" l="1"/>
  <c r="L10" i="1" l="1"/>
  <c r="D36" i="4" l="1"/>
  <c r="D37" i="4" l="1"/>
  <c r="D38" i="4" s="1"/>
  <c r="C36" i="4"/>
  <c r="C37" i="4" s="1"/>
  <c r="C38" i="4" s="1"/>
  <c r="C57" i="4" l="1"/>
  <c r="C58" i="4" l="1"/>
  <c r="C59" i="4" s="1"/>
  <c r="I16" i="2"/>
  <c r="L16" i="2" s="1"/>
  <c r="I15" i="2"/>
  <c r="L15" i="2" s="1"/>
  <c r="I14" i="2"/>
  <c r="L14" i="2" s="1"/>
  <c r="I13" i="2"/>
  <c r="I12" i="2"/>
  <c r="L12" i="2" s="1"/>
  <c r="F11" i="2"/>
  <c r="J10" i="2"/>
  <c r="I10" i="2" s="1"/>
  <c r="F10" i="2"/>
  <c r="I9" i="2"/>
  <c r="L9" i="2" s="1"/>
  <c r="M7" i="2"/>
  <c r="F18" i="2" l="1"/>
  <c r="L11" i="2"/>
  <c r="M11" i="2" s="1"/>
  <c r="I18" i="2"/>
  <c r="J18" i="2"/>
  <c r="L10" i="2"/>
  <c r="L18" i="2" l="1"/>
  <c r="N18" i="2" s="1"/>
  <c r="M10" i="2"/>
  <c r="M18" i="2" l="1"/>
  <c r="N18" i="6" l="1"/>
  <c r="C49" i="6" l="1"/>
  <c r="I48" i="6" l="1"/>
  <c r="J6" i="6" l="1"/>
  <c r="J5" i="6"/>
  <c r="J7" i="6" s="1"/>
  <c r="H20" i="6" l="1"/>
  <c r="G19" i="6"/>
  <c r="G20" i="6" s="1"/>
  <c r="H32" i="6"/>
  <c r="G34" i="6"/>
  <c r="F34" i="6"/>
  <c r="E18" i="6" l="1"/>
  <c r="E20" i="6" s="1"/>
  <c r="G4" i="6" l="1"/>
  <c r="D36" i="6" l="1"/>
  <c r="D32" i="6" l="1"/>
  <c r="D28" i="6"/>
  <c r="E28" i="6" s="1"/>
  <c r="D24" i="6" l="1"/>
  <c r="D21" i="6"/>
  <c r="D16" i="6"/>
  <c r="D13" i="6" l="1"/>
  <c r="D12" i="6"/>
  <c r="D6" i="6"/>
  <c r="D14" i="6" l="1"/>
  <c r="A22" i="6"/>
  <c r="A19" i="6"/>
  <c r="A17" i="6" l="1"/>
  <c r="A12" i="6" l="1"/>
  <c r="A2" i="6"/>
  <c r="A5" i="6" l="1"/>
  <c r="J6" i="9" l="1"/>
  <c r="J7" i="9"/>
  <c r="L3" i="9"/>
  <c r="L6" i="9"/>
  <c r="L11" i="9" s="1"/>
  <c r="J11" i="9"/>
  <c r="J8" i="8"/>
  <c r="J13" i="8"/>
  <c r="J16" i="7"/>
  <c r="H18" i="8"/>
  <c r="G18" i="8"/>
  <c r="L6" i="7"/>
  <c r="L11" i="7" s="1"/>
  <c r="J6" i="7"/>
  <c r="L3" i="7"/>
  <c r="D3" i="8"/>
  <c r="G33" i="3" l="1"/>
  <c r="G28" i="3"/>
  <c r="M19" i="3"/>
  <c r="F22" i="3"/>
  <c r="G22" i="3" s="1"/>
  <c r="N10" i="3"/>
  <c r="M10" i="3"/>
  <c r="N4" i="3"/>
  <c r="D4" i="3" s="1"/>
  <c r="D7" i="3" s="1"/>
  <c r="K26" i="3" l="1"/>
  <c r="F21" i="3"/>
  <c r="G21" i="3" s="1"/>
  <c r="D5" i="3"/>
  <c r="C5" i="3" s="1"/>
  <c r="C4" i="3"/>
  <c r="F10" i="3"/>
  <c r="G10" i="3" s="1"/>
  <c r="F12" i="3"/>
  <c r="G12" i="3" s="1"/>
  <c r="O4" i="3"/>
  <c r="D6" i="3" s="1"/>
  <c r="C6" i="3" s="1"/>
  <c r="F16" i="3"/>
  <c r="L10" i="3" s="1"/>
  <c r="F14" i="3"/>
  <c r="G14" i="3" s="1"/>
  <c r="F19" i="3"/>
  <c r="G19" i="3" s="1"/>
  <c r="F23" i="3"/>
  <c r="G23" i="3" s="1"/>
  <c r="L3" i="3"/>
  <c r="F7" i="3" s="1"/>
  <c r="F11" i="3"/>
  <c r="G11" i="3" s="1"/>
  <c r="F13" i="3"/>
  <c r="F15" i="3"/>
  <c r="G15" i="3" s="1"/>
  <c r="F20" i="3"/>
  <c r="G20" i="3" s="1"/>
  <c r="B4" i="3" l="1"/>
  <c r="G11" i="9"/>
  <c r="H11" i="9" s="1"/>
  <c r="G6" i="9"/>
  <c r="G5" i="9"/>
  <c r="B6" i="3"/>
  <c r="G14" i="8"/>
  <c r="F25" i="3"/>
  <c r="L19" i="3" s="1"/>
  <c r="L26" i="3" s="1"/>
  <c r="L30" i="3" s="1"/>
  <c r="G16" i="3"/>
  <c r="G5" i="7"/>
  <c r="B5" i="3"/>
  <c r="G11" i="7"/>
  <c r="H11" i="7" s="1"/>
  <c r="G6" i="7"/>
  <c r="M26" i="3"/>
  <c r="G7" i="3"/>
  <c r="E7" i="3"/>
  <c r="G13" i="3"/>
  <c r="F17" i="3"/>
  <c r="G17" i="3" s="1"/>
  <c r="M3" i="3"/>
  <c r="G17" i="9" l="1"/>
  <c r="G20" i="9" s="1"/>
  <c r="I25" i="3"/>
  <c r="I24" i="3" s="1"/>
  <c r="N19" i="3" s="1"/>
  <c r="J3" i="9"/>
  <c r="G4" i="9"/>
  <c r="G3" i="9" s="1"/>
  <c r="H6" i="9" s="1"/>
  <c r="G25" i="3"/>
  <c r="J3" i="8"/>
  <c r="G19" i="8"/>
  <c r="G4" i="7"/>
  <c r="J3" i="7"/>
  <c r="G8" i="8"/>
  <c r="H8" i="8" s="1"/>
  <c r="H3" i="8" s="1"/>
  <c r="B7" i="3"/>
  <c r="N3" i="3"/>
  <c r="O3" i="3"/>
  <c r="F6" i="3" s="1"/>
  <c r="A8" i="6" l="1"/>
  <c r="F24" i="3"/>
  <c r="F26" i="3" s="1"/>
  <c r="J4" i="9"/>
  <c r="G20" i="8"/>
  <c r="H20" i="8" s="1"/>
  <c r="L3" i="8" s="1"/>
  <c r="L8" i="8" s="1"/>
  <c r="G21" i="8"/>
  <c r="G3" i="8"/>
  <c r="F5" i="3"/>
  <c r="F4" i="3"/>
  <c r="G6" i="3"/>
  <c r="E6" i="3"/>
  <c r="N26" i="3" l="1"/>
  <c r="G24" i="3"/>
  <c r="G26" i="3"/>
  <c r="F29" i="3"/>
  <c r="G4" i="3"/>
  <c r="F8" i="3"/>
  <c r="E4" i="3"/>
  <c r="G5" i="3"/>
  <c r="E5" i="3"/>
  <c r="I7" i="3" l="1"/>
  <c r="I6" i="3"/>
  <c r="G8" i="3"/>
  <c r="I4" i="3"/>
  <c r="F30" i="3"/>
  <c r="G30" i="3" s="1"/>
  <c r="G29" i="3"/>
  <c r="I5" i="3"/>
  <c r="E8" i="3"/>
  <c r="G3" i="7" l="1"/>
  <c r="H3" i="7" s="1"/>
  <c r="H6" i="7" s="1"/>
  <c r="J4" i="7"/>
  <c r="J11" i="7"/>
  <c r="L13" i="2"/>
</calcChain>
</file>

<file path=xl/sharedStrings.xml><?xml version="1.0" encoding="utf-8"?>
<sst xmlns="http://schemas.openxmlformats.org/spreadsheetml/2006/main" count="724" uniqueCount="501">
  <si>
    <r>
      <rPr>
        <sz val="11"/>
        <color theme="1"/>
        <rFont val="Times New Roman"/>
        <family val="1"/>
        <charset val="204"/>
      </rPr>
      <t>Програма за техническа помощ 2021-2027 г.</t>
    </r>
  </si>
  <si>
    <r>
      <rPr>
        <b/>
        <sz val="9"/>
        <color rgb="FF000000"/>
        <rFont val="Times New Roman"/>
        <family val="1"/>
        <charset val="204"/>
      </rPr>
      <t>EUR, принос на ЕС</t>
    </r>
  </si>
  <si>
    <r>
      <rPr>
        <b/>
        <sz val="13"/>
        <color rgb="FF000000"/>
        <rFont val="Times New Roman"/>
        <family val="1"/>
        <charset val="204"/>
      </rPr>
      <t>Таблица 10: Финансови бюджетни кредити по година</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</si>
  <si>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</si>
  <si>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</si>
  <si>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Общо</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</si>
  <si>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</si>
  <si>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</si>
  <si>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b/>
        <sz val="8"/>
        <rFont val="Times New Roman"/>
        <family val="1"/>
        <charset val="204"/>
      </rPr>
      <t>Финансови бюджетни кредити без стойност за гъвкавост‭ ‬</t>
    </r>
  </si>
  <si>
    <r>
      <rPr>
        <b/>
        <sz val="8"/>
        <rFont val="Times New Roman"/>
        <family val="1"/>
        <charset val="204"/>
      </rPr>
      <t>Стойност за гъвкавост</t>
    </r>
  </si>
  <si>
    <r>
      <rPr>
        <sz val="10"/>
        <color rgb="FF000000"/>
        <rFont val="Times New Roman"/>
        <family val="1"/>
        <charset val="204"/>
      </rPr>
      <t>ЕФРР</t>
    </r>
  </si>
  <si>
    <r>
      <rPr>
        <sz val="10"/>
        <color rgb="FF000000"/>
        <rFont val="Times New Roman"/>
        <family val="1"/>
        <charset val="204"/>
      </rPr>
      <t>По-слабо развити региони</t>
    </r>
  </si>
  <si>
    <r>
      <rPr>
        <sz val="11"/>
        <color rgb="FF000000"/>
        <rFont val="Times New Roman"/>
        <family val="1"/>
        <charset val="204"/>
      </rPr>
      <t xml:space="preserve"> - </t>
    </r>
  </si>
  <si>
    <r>
      <rPr>
        <sz val="10"/>
        <color rgb="FF000000"/>
        <rFont val="Times New Roman"/>
        <family val="1"/>
        <charset val="204"/>
      </rPr>
      <t>По-силно развити региони</t>
    </r>
  </si>
  <si>
    <r>
      <rPr>
        <sz val="10"/>
        <color rgb="FF000000"/>
        <rFont val="Times New Roman"/>
        <family val="1"/>
        <charset val="204"/>
      </rPr>
      <t xml:space="preserve">Преход </t>
    </r>
  </si>
  <si>
    <r>
      <rPr>
        <b/>
        <sz val="10"/>
        <color rgb="FF000000"/>
        <rFont val="Times New Roman"/>
        <family val="1"/>
        <charset val="204"/>
      </rPr>
      <t>Общо</t>
    </r>
  </si>
  <si>
    <r>
      <rPr>
        <b/>
        <sz val="11"/>
        <color rgb="FF000000"/>
        <rFont val="Times New Roman"/>
        <family val="1"/>
        <charset val="204"/>
      </rPr>
      <t xml:space="preserve"> - </t>
    </r>
  </si>
  <si>
    <r>
      <rPr>
        <b/>
        <sz val="11"/>
        <color theme="1"/>
        <rFont val="Times New Roman"/>
        <family val="1"/>
        <charset val="204"/>
      </rPr>
      <t>Таблица 11: 3.2‭ ‬Общо финансови бюджетни кредити по фонд и национално съфинансиране</t>
    </r>
  </si>
  <si>
    <r>
      <rPr>
        <b/>
        <sz val="11"/>
        <color rgb="FF000000"/>
        <rFont val="Times New Roman"/>
        <family val="1"/>
        <charset val="204"/>
      </rPr>
      <t>Цели на политиката Не или ТП</t>
    </r>
  </si>
  <si>
    <r>
      <rPr>
        <b/>
        <sz val="11"/>
        <color rgb="FF000000"/>
        <rFont val="Times New Roman"/>
        <family val="1"/>
        <charset val="204"/>
      </rPr>
      <t>Приоритет</t>
    </r>
  </si>
  <si>
    <r>
      <rPr>
        <b/>
        <sz val="11"/>
        <color rgb="FF000000"/>
        <rFont val="Times New Roman"/>
        <family val="1"/>
        <charset val="204"/>
      </rPr>
      <t>Основа за изчисляване на подпомагането от ЕС‭ (‬общо или публично‭)</t>
    </r>
  </si>
  <si>
    <r>
      <rPr>
        <b/>
        <sz val="11"/>
        <color rgb="FF000000"/>
        <rFont val="Times New Roman"/>
        <family val="1"/>
        <charset val="204"/>
      </rPr>
      <t>Фонд</t>
    </r>
  </si>
  <si>
    <r>
      <rPr>
        <b/>
        <sz val="11"/>
        <color rgb="FF000000"/>
        <rFont val="Times New Roman"/>
        <family val="1"/>
        <charset val="204"/>
      </rPr>
      <t>Категория региони</t>
    </r>
  </si>
  <si>
    <r>
      <rPr>
        <b/>
        <sz val="11"/>
        <color rgb="FF000000"/>
        <rFont val="Times New Roman"/>
        <family val="1"/>
        <charset val="204"/>
      </rPr>
      <t xml:space="preserve">Принос на ЕС </t>
    </r>
  </si>
  <si>
    <r>
      <rPr>
        <b/>
        <sz val="11"/>
        <color rgb="FF000000"/>
        <rFont val="Times New Roman"/>
        <family val="1"/>
        <charset val="204"/>
      </rPr>
      <t>Национален принос</t>
    </r>
  </si>
  <si>
    <r>
      <rPr>
        <b/>
        <sz val="11"/>
        <color rgb="FF000000"/>
        <rFont val="Times New Roman"/>
        <family val="1"/>
        <charset val="204"/>
      </rPr>
      <t>Ориентировъчно разпределение на националното участие</t>
    </r>
  </si>
  <si>
    <r>
      <rPr>
        <b/>
        <sz val="11"/>
        <color rgb="FF000000"/>
        <rFont val="Times New Roman"/>
        <family val="1"/>
        <charset val="204"/>
      </rPr>
      <t>Общо</t>
    </r>
  </si>
  <si>
    <r>
      <rPr>
        <b/>
        <sz val="11"/>
        <color rgb="FF000000"/>
        <rFont val="Times New Roman"/>
        <family val="1"/>
        <charset val="204"/>
      </rPr>
      <t>Процент на съфинансиране</t>
    </r>
  </si>
  <si>
    <r>
      <rPr>
        <b/>
        <sz val="11"/>
        <color rgb="FF000000"/>
        <rFont val="Times New Roman"/>
        <family val="1"/>
        <charset val="204"/>
      </rPr>
      <t>публично‭</t>
    </r>
  </si>
  <si>
    <r>
      <rPr>
        <b/>
        <sz val="11"/>
        <color rgb="FF000000"/>
        <rFont val="Times New Roman"/>
        <family val="1"/>
        <charset val="204"/>
      </rPr>
      <t>частно‭</t>
    </r>
  </si>
  <si>
    <r>
      <rPr>
        <sz val="11"/>
        <color rgb="FF000000"/>
        <rFont val="Times New Roman"/>
        <family val="1"/>
        <charset val="204"/>
      </rPr>
      <t>(а)</t>
    </r>
  </si>
  <si>
    <r>
      <rPr>
        <sz val="11"/>
        <color rgb="FF000000"/>
        <rFont val="Times New Roman"/>
        <family val="1"/>
        <charset val="204"/>
      </rPr>
      <t>(б‭)=(в‬)+‭(‬г)</t>
    </r>
  </si>
  <si>
    <r>
      <rPr>
        <sz val="11"/>
        <color rgb="FF000000"/>
        <rFont val="Times New Roman"/>
        <family val="1"/>
        <charset val="204"/>
      </rPr>
      <t>(в)</t>
    </r>
  </si>
  <si>
    <r>
      <rPr>
        <sz val="11"/>
        <color rgb="FF000000"/>
        <rFont val="Times New Roman"/>
        <family val="1"/>
        <charset val="204"/>
      </rPr>
      <t>(г)</t>
    </r>
  </si>
  <si>
    <r>
      <rPr>
        <sz val="11"/>
        <color rgb="FF000000"/>
        <rFont val="Times New Roman"/>
        <family val="1"/>
        <charset val="204"/>
      </rPr>
      <t>(д)=(‬a‭)‬+‭(‬б)**</t>
    </r>
  </si>
  <si>
    <r>
      <rPr>
        <sz val="11"/>
        <color rgb="FF000000"/>
        <rFont val="Times New Roman"/>
        <family val="1"/>
        <charset val="204"/>
      </rPr>
      <t>(е‭)=(‬a‭)‬/‭(д)**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</si>
  <si>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</si>
  <si>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</si>
  <si>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</si>
  <si>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</si>
  <si>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Преход</t>
    </r>
  </si>
  <si>
    <r>
      <rPr>
        <b/>
        <sz val="10"/>
        <color rgb="FF000000"/>
        <rFont val="Times New Roman"/>
        <family val="1"/>
        <charset val="204"/>
      </rPr>
      <t>TA</t>
    </r>
  </si>
  <si>
    <r>
      <rPr>
        <b/>
        <sz val="10"/>
        <color rgb="FF000000"/>
        <rFont val="Times New Roman"/>
        <family val="1"/>
        <charset val="204"/>
      </rPr>
      <t>Приоритет 1 ТП в съответствие с член 30, параграф 4</t>
    </r>
  </si>
  <si>
    <r>
      <rPr>
        <sz val="10"/>
        <color rgb="FF000000"/>
        <rFont val="Times New Roman"/>
        <family val="1"/>
        <charset val="204"/>
      </rPr>
      <t>публично‭</t>
    </r>
  </si>
  <si>
    <r>
      <rPr>
        <sz val="11"/>
        <color rgb="FF000000"/>
        <rFont val="Times New Roman"/>
        <family val="1"/>
        <charset val="204"/>
      </rPr>
      <t>ЕФРР</t>
    </r>
  </si>
  <si>
    <r>
      <rPr>
        <i/>
        <sz val="11"/>
        <color rgb="FF000000"/>
        <rFont val="Times New Roman"/>
        <family val="1"/>
        <charset val="204"/>
      </rPr>
      <t>По-слабо развити региони</t>
    </r>
  </si>
  <si>
    <r>
      <rPr>
        <b/>
        <sz val="11"/>
        <color rgb="FF000000"/>
        <rFont val="Times New Roman"/>
        <family val="1"/>
        <charset val="204"/>
      </rPr>
      <t>Общо ЕФРР</t>
    </r>
  </si>
  <si>
    <r>
      <rPr>
        <i/>
        <sz val="11"/>
        <color rgb="FF000000"/>
        <rFont val="Times New Roman"/>
        <family val="1"/>
        <charset val="204"/>
      </rPr>
      <t>По-силно развити региони</t>
    </r>
  </si>
  <si>
    <r>
      <rPr>
        <i/>
        <sz val="11"/>
        <color rgb="FF000000"/>
        <rFont val="Times New Roman"/>
        <family val="1"/>
        <charset val="204"/>
      </rPr>
      <t>Преход</t>
    </r>
  </si>
  <si>
    <r>
      <rPr>
        <i/>
        <sz val="11"/>
        <color rgb="FF000000"/>
        <rFont val="Times New Roman"/>
        <family val="1"/>
        <charset val="204"/>
      </rPr>
      <t>По-слабо развити региони</t>
    </r>
  </si>
  <si>
    <r>
      <rPr>
        <i/>
        <sz val="11"/>
        <color rgb="FF000000"/>
        <rFont val="Times New Roman"/>
        <family val="1"/>
        <charset val="204"/>
      </rPr>
      <t xml:space="preserve">Най-отдалечени </t>
    </r>
  </si>
  <si>
    <r>
      <rPr>
        <b/>
        <sz val="11"/>
        <color rgb="FF000000"/>
        <rFont val="Times New Roman"/>
        <family val="1"/>
        <charset val="204"/>
      </rPr>
      <t>Общо ЕСФ+</t>
    </r>
  </si>
  <si>
    <r>
      <rPr>
        <i/>
        <sz val="8"/>
        <color rgb="FF000000"/>
        <rFont val="Times New Roman"/>
        <family val="1"/>
        <charset val="204"/>
      </rPr>
      <t>По-силно развити региони</t>
    </r>
  </si>
  <si>
    <r>
      <rPr>
        <i/>
        <sz val="8"/>
        <color rgb="FF000000"/>
        <rFont val="Times New Roman"/>
        <family val="1"/>
        <charset val="204"/>
      </rPr>
      <t>Преход</t>
    </r>
  </si>
  <si>
    <r>
      <rPr>
        <i/>
        <sz val="8"/>
        <color rgb="FF000000"/>
        <rFont val="Times New Roman"/>
        <family val="1"/>
        <charset val="204"/>
      </rPr>
      <t>По-слабо развити региони</t>
    </r>
  </si>
  <si>
    <r>
      <rPr>
        <i/>
        <sz val="8"/>
        <color rgb="FF000000"/>
        <rFont val="Times New Roman"/>
        <family val="1"/>
        <charset val="204"/>
      </rPr>
      <t>Специално разпределени средства за най-отдалечените или северни слабо населени региони</t>
    </r>
  </si>
  <si>
    <r>
      <rPr>
        <b/>
        <sz val="11"/>
        <color rgb="FF000000"/>
        <rFont val="Times New Roman"/>
        <family val="1"/>
        <charset val="204"/>
      </rPr>
      <t>Общо КФ</t>
    </r>
  </si>
  <si>
    <r>
      <rPr>
        <sz val="11"/>
        <color rgb="FF000000"/>
        <rFont val="Times New Roman"/>
        <family val="1"/>
        <charset val="204"/>
      </rPr>
      <t>неприложимо</t>
    </r>
  </si>
  <si>
    <r>
      <rPr>
        <b/>
        <sz val="11"/>
        <color rgb="FF000000"/>
        <rFont val="Times New Roman"/>
        <family val="1"/>
        <charset val="204"/>
      </rPr>
      <t>Общо</t>
    </r>
  </si>
  <si>
    <r>
      <rPr>
        <b/>
        <sz val="11"/>
        <color theme="1"/>
        <rFont val="Times New Roman"/>
        <family val="1"/>
        <charset val="204"/>
      </rPr>
      <t>Бенефициенти и заинтересовани страни, допринасящи за постигането на показатели:
Показатели:</t>
    </r>
  </si>
  <si>
    <r>
      <rPr>
        <b/>
        <sz val="11"/>
        <color theme="1"/>
        <rFont val="Times New Roman"/>
        <family val="1"/>
        <charset val="204"/>
      </rPr>
      <t>Етапна цел (2024)</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</si>
  <si>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</si>
  <si>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</si>
  <si>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</si>
  <si>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АОП</t>
    </r>
  </si>
  <si>
    <r>
      <rPr>
        <sz val="9"/>
        <rFont val="Times New Roman"/>
        <family val="1"/>
        <charset val="204"/>
      </rPr>
      <t>Общини</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</si>
  <si>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</si>
  <si>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</si>
  <si>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</si>
  <si>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</si>
  <si>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</si>
  <si>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9"/>
        <rFont val="Times New Roman"/>
        <family val="1"/>
        <charset val="204"/>
      </rPr>
      <t>ЦКЗ</t>
    </r>
  </si>
  <si>
    <r>
      <rPr>
        <sz val="9"/>
        <rFont val="Times New Roman"/>
        <family val="1"/>
        <charset val="204"/>
      </rPr>
      <t>ОО</t>
    </r>
  </si>
  <si>
    <r>
      <rPr>
        <sz val="9"/>
        <rFont val="Times New Roman"/>
        <family val="1"/>
        <charset val="204"/>
      </rPr>
      <t>СчО</t>
    </r>
  </si>
  <si>
    <r>
      <rPr>
        <sz val="9"/>
        <rFont val="Times New Roman"/>
        <family val="1"/>
        <charset val="204"/>
      </rPr>
      <t>НРПД</t>
    </r>
  </si>
  <si>
    <r>
      <rPr>
        <sz val="9"/>
        <rFont val="Times New Roman"/>
        <family val="1"/>
        <charset val="204"/>
      </rPr>
      <t>Гражданско общество</t>
    </r>
  </si>
  <si>
    <r>
      <rPr>
        <sz val="9"/>
        <rFont val="Times New Roman"/>
        <family val="1"/>
        <charset val="204"/>
      </rPr>
      <t>27 ОИЦ</t>
    </r>
  </si>
  <si>
    <r>
      <rPr>
        <sz val="9"/>
        <rFont val="Times New Roman"/>
        <family val="1"/>
        <charset val="204"/>
      </rPr>
      <t>Външни оценители на проекти</t>
    </r>
  </si>
  <si>
    <r>
      <rPr>
        <sz val="9"/>
        <rFont val="Times New Roman"/>
        <family val="1"/>
        <charset val="204"/>
      </rPr>
      <t>УО на ПТП</t>
    </r>
  </si>
  <si>
    <r>
      <rPr>
        <b/>
        <sz val="9"/>
        <color theme="1"/>
        <rFont val="Times New Roman"/>
        <family val="1"/>
        <charset val="204"/>
      </rPr>
      <t>Общо</t>
    </r>
  </si>
  <si>
    <r>
      <rPr>
        <sz val="11.5"/>
        <color theme="1"/>
        <rFont val="Times New Roman"/>
        <family val="1"/>
        <charset val="204"/>
      </rPr>
      <t xml:space="preserve">(О1-1) </t>
    </r>
  </si>
  <si>
    <t>КОНЦЕПЦИЯ ЗА  ПРОГРАМА "НАУКА И ОБРАЗОВАНИЕ" 2021-2027 Г.</t>
  </si>
  <si>
    <t>Разпределение на финансовия ресурс по ПО 1</t>
  </si>
  <si>
    <t>Група дейности</t>
  </si>
  <si>
    <t>ФИ ЕС</t>
  </si>
  <si>
    <t>БФП+ФИ ЕС</t>
  </si>
  <si>
    <t>БФП+ФИ</t>
  </si>
  <si>
    <t>Бюджет в евро ЕС</t>
  </si>
  <si>
    <t>Бюджет в евро</t>
  </si>
  <si>
    <t>Бюджет в лева</t>
  </si>
  <si>
    <t>Начин на изпълнение</t>
  </si>
  <si>
    <t>% Разпределение от ПО1</t>
  </si>
  <si>
    <t>% за Хоризонт</t>
  </si>
  <si>
    <t>бюджет ПO 1 общо</t>
  </si>
  <si>
    <t>финасови инструменти (20%)</t>
  </si>
  <si>
    <t>БФП остатък бюджет ПO 1</t>
  </si>
  <si>
    <t>бюджет инфраструктура и оборудване (70%)</t>
  </si>
  <si>
    <t>бюджет научни изследвания (30%)</t>
  </si>
  <si>
    <t>ПО 1 Научна инфраструктура и изследвания (ЕФРР)</t>
  </si>
  <si>
    <t>Хоризонт Европа - инфраструктура и seal of excellence - инфраструктура, оборудване и изследвания</t>
  </si>
  <si>
    <t>Директно предоставяне</t>
  </si>
  <si>
    <t>Центрове за върхови постижения и Центрове за компетентност - инфраструктура, оборудване и научни изследвания (Директно предоставяне)</t>
  </si>
  <si>
    <t>Директно предоставяне</t>
  </si>
  <si>
    <t xml:space="preserve">Научни изследвания </t>
  </si>
  <si>
    <t>Конкретен бенефициент или Междинно звено за подбор на проекти/ АНИ (Агенция за наука и иновации )</t>
  </si>
  <si>
    <t>Финансови иснтрументи - заеми, гаранции, рисков капитал</t>
  </si>
  <si>
    <t>Фонд на фондовете/фонд за технологичен трансфер</t>
  </si>
  <si>
    <t>Общо за приоритетната ос</t>
  </si>
  <si>
    <t>ПО 2 Модернизация и качество на образованието (ЕСФ+)</t>
  </si>
  <si>
    <t>% Разпределение от ПО2</t>
  </si>
  <si>
    <t>бюджет ПО 2 общо</t>
  </si>
  <si>
    <t xml:space="preserve">Териториален иснтрумент </t>
  </si>
  <si>
    <t>Директно предоставяне</t>
  </si>
  <si>
    <t>Конкурентен подбор</t>
  </si>
  <si>
    <t>Качество в училищното образованието+ квалификация на педаг. спец. (промяна на уч. програми и методи на преподаване, нови умения на учениците и пед. Специалисти, мобилност)</t>
  </si>
  <si>
    <t>Директно предоставяне на МОН</t>
  </si>
  <si>
    <t>Модернизация на образованието/ ИКТ+ квалификация на педаг. спец. (иновации, дигитални ресурси, интерактивно съдържание, дигитална креативност, нови умения на учениците и пед. Специалисти, граждански ценности)</t>
  </si>
  <si>
    <t>Директно предоставяне на МОН</t>
  </si>
  <si>
    <t>Допълняемост с централно управлявани инструменти - Еразъм +, Хоризонт Европа, Мария Кюри</t>
  </si>
  <si>
    <t>Директно предоставяне на МОН</t>
  </si>
  <si>
    <t>Валидиране на знания и умения, професионални центрове за върхови постижения, учебно тренировъчни фирми, ученически практики</t>
  </si>
  <si>
    <t>Процедура на подбор с браншови организации</t>
  </si>
  <si>
    <t>Студентски практики (връзка с пазара на труда)</t>
  </si>
  <si>
    <t>Процедура на подбор висши училища</t>
  </si>
  <si>
    <t>Висше образование (дигитализация, подобряване качеството на управление и преподаване, учебни програми, връзка с пазара на труда, участие в международни мрежи, мобилност)</t>
  </si>
  <si>
    <t>Процедура на подбор висши училища</t>
  </si>
  <si>
    <r>
      <rPr>
        <b/>
        <sz val="12"/>
        <color theme="1"/>
        <rFont val="Candara"/>
        <family val="2"/>
        <charset val="204"/>
      </rPr>
      <t>Интегрирани териториални инвестиции (ИТИ)</t>
    </r>
    <r>
      <rPr>
        <sz val="12"/>
        <color theme="1"/>
        <rFont val="Candara"/>
        <family val="2"/>
        <charset val="204"/>
      </rPr>
      <t xml:space="preserve"> Професионално образование и обучение +квалификация на педаг. спец. (връзка с пазара на труда, ЦПО, дуална система на обучение, ученически практики)</t>
    </r>
  </si>
  <si>
    <t>Процедура на подбор</t>
  </si>
  <si>
    <t>Общо за приоритетната ос</t>
  </si>
  <si>
    <t xml:space="preserve">ПО 3 Приобщаващо образование (ЕСФ+)
</t>
  </si>
  <si>
    <t>% Разпределение от ПО2</t>
  </si>
  <si>
    <t>бюджет ПО 2 общо</t>
  </si>
  <si>
    <t xml:space="preserve">Териториален иснтрумент </t>
  </si>
  <si>
    <t>Директно предоставяне</t>
  </si>
  <si>
    <t>Конкурентен подбор</t>
  </si>
  <si>
    <t xml:space="preserve">Намаляване на преждевременно напусналите училище (обща подкрепа за личностно развитие, десегрегация,  ученици с пропуски в усвояването на уч. материал, ученици в риск от отпадане от обр. система) </t>
  </si>
  <si>
    <t>Директно предоставяне на МОН</t>
  </si>
  <si>
    <t>Активно приобщаване в предучилищно образование (обхват на децата, разработване на специализирани методики, педагогическа, психологическа и социална подкрепа на деца от уязвими социално слаби групи, промяна на уч. програми и методи на преподаване)</t>
  </si>
  <si>
    <t>Директно предоставяне на МОН</t>
  </si>
  <si>
    <t>Включващо обучение (подпомагане на младежи с увреждания и от уязвими социално слаби групи за кандидатстване във висши училища, алтернативни модели за работа с ученици с девиантно поведение, развитие на подкрепяща среда за деца и ученици със СОП)</t>
  </si>
  <si>
    <t>Директно предоставяне на МОН</t>
  </si>
  <si>
    <t>Талантливи деца и ученици с изявени дарби</t>
  </si>
  <si>
    <t>Директно предоставяне на МОН</t>
  </si>
  <si>
    <t xml:space="preserve">Ограмотяване на възрастни </t>
  </si>
  <si>
    <t>Процедура на подбор</t>
  </si>
  <si>
    <t>Проходимост на уязвими групи в отделните образователни етапи и достъп до висше образование.</t>
  </si>
  <si>
    <t>Процедура на подбор</t>
  </si>
  <si>
    <r>
      <rPr>
        <b/>
        <sz val="12"/>
        <color theme="1"/>
        <rFont val="Candara"/>
        <family val="2"/>
        <charset val="204"/>
      </rPr>
      <t>ВОМР -</t>
    </r>
    <r>
      <rPr>
        <sz val="12"/>
        <color theme="1"/>
        <rFont val="Candara"/>
        <family val="2"/>
        <charset val="204"/>
      </rPr>
      <t xml:space="preserve"> Работа с родители от уязвими групи (работа с родителите на децата в риск от ранно отпадане чрез включване на представители на неправителствени организации, образователни медиатори, социални работници, ромски авторитети и лидери, насърчаване на сътрудничеството с педагогическите специалисти)</t>
    </r>
  </si>
  <si>
    <t>Процедура на подбор</t>
  </si>
  <si>
    <t>бюджет ЕСФ общо</t>
  </si>
  <si>
    <t xml:space="preserve">Териториален иснтрумент </t>
  </si>
  <si>
    <t>Директно предоставяне</t>
  </si>
  <si>
    <t>Конкурентен подбор</t>
  </si>
  <si>
    <t>Общо за приоритетната ос</t>
  </si>
  <si>
    <t xml:space="preserve">ПО4 Техническа помощ (ЕСФ+)
</t>
  </si>
  <si>
    <t>Общо за приоритетната ос</t>
  </si>
  <si>
    <t>Общо за ЕСФ</t>
  </si>
  <si>
    <t>бюджет ОПНО общо</t>
  </si>
  <si>
    <t xml:space="preserve">Териториален иснтрумент </t>
  </si>
  <si>
    <t>Общо за оперативната програма</t>
  </si>
  <si>
    <t>общ брой деца</t>
  </si>
  <si>
    <t>общо учащи</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</si>
  <si>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</si>
  <si>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</si>
  <si>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</si>
  <si>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</si>
  <si>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</si>
  <si>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</si>
  <si>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</si>
  <si>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</si>
  <si>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</si>
  <si>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</si>
  <si>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</si>
  <si>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</si>
  <si>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Повишаване на конкурентоспособността и ефикасността на системата за научни изследвания, като се постави акцент върху постиганите резултати и се създадат стимули за привличане на квалифицирани научни изследователи (напр. подобряване на условията на труд, международно сътрудничество и мобилност, сътрудничество с бизнеса);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</si>
  <si>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</si>
  <si>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r>
      <rPr>
        <b/>
        <sz val="9"/>
        <color theme="1"/>
        <rFont val="Times New Roman"/>
        <family val="1"/>
        <charset val="204"/>
      </rPr>
      <t>Приоритет 3: Научна инфраструктура и приложни изследвания</t>
    </r>
    <r>
      <rPr>
        <sz val="9"/>
        <color theme="1"/>
        <rFont val="Times New Roman"/>
        <family val="1"/>
        <charset val="204"/>
      </rPr>
      <t xml:space="preserve">
Цел: Подобряване на капацитета за научни изследвания, насочени към резултати, чрез модернизация на научната инфраструктура, подобряване на условията на труд и мобилност на учените. 
</t>
    </r>
  </si>
  <si>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</si>
  <si>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ИТ свързаност и съпътстващата инфраструктура в стратегически определени научни центрове за върхови постижения и центрове за компетентност</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</si>
  <si>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</si>
  <si>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</si>
  <si>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</si>
  <si>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</si>
  <si>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</si>
  <si>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стратегически определени научни центрове за върхови постижения и центрове за компетентност</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</si>
  <si>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</si>
  <si>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</si>
  <si>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</si>
  <si>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на  в стратегически определени научни центрове за върхови постижения и центрове за компетентност, чрез:</t>
  </si>
  <si>
    <t>RCO 07 Научноизследователски институции участващи в съвместни проекти за научни изследвания;</t>
  </si>
  <si>
    <t xml:space="preserve">Изграждане на мрежи и съвместна научно-изследователска дейност с водещи европейски научни организации и университети, подкрепа за присъединяване към пан-европейски научно-изследователски инфраструктури </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</si>
  <si>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</si>
  <si>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</si>
  <si>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в стратегически определени научни центрове за върхови постижения и центрове за компетентност,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</si>
  <si>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</si>
  <si>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</si>
  <si>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</si>
  <si>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</si>
  <si>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установяването, придобиването, защитаването и използване, управление  и прехвърляне на права по интелектуална собственостна п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</si>
  <si>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</si>
  <si>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</si>
  <si>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5. Подкрепа за високотехнологични стартиращи предприятия на подкрепените   стратегически определени научни центрове за върхови постижения и центрове за компетентност</t>
  </si>
  <si>
    <t>RCO 05 - Стартиращи предприятия</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</si>
  <si>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</si>
  <si>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</si>
  <si>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</si>
  <si>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</si>
  <si>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</si>
  <si>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видове интервенции и примерна разбивка на програмираните средства в зависимост от вида интервенция или област на подпомагане;</t>
  </si>
  <si>
    <t xml:space="preserve">План за финансиране (в евро, европейско финансиране) 
БФП </t>
  </si>
  <si>
    <t>В т.ч. планирано използване на финансови инструменти;</t>
  </si>
  <si>
    <t>показателите за крайния продукт исъс съответните междинни цели и целеви стойности;</t>
  </si>
  <si>
    <t>Стойност</t>
  </si>
  <si>
    <t>показателите за резултата със съответните междинни цели и целеви стойности;</t>
  </si>
  <si>
    <t>Стойност</t>
  </si>
  <si>
    <t>основните целеви групи;</t>
  </si>
  <si>
    <t>развиване на уменията в университетите и научноизследователските институции с цел увеличаване на търговската жизнеспособност и пазарното значение на научноизследователските им проекти и на способността за участие в научноизследователски консорциуми;
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</si>
  <si>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</si>
  <si>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</si>
  <si>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</si>
  <si>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</si>
  <si>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</si>
  <si>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</si>
  <si>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Изследователи в научни организации, преподаватели в университети, докторанти, постдокторанти, млади учени, студенти, представители на бизнеса.</t>
  </si>
  <si>
    <t>3. Интернационализация,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</si>
  <si>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</si>
  <si>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</si>
  <si>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</si>
  <si>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</si>
  <si>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</si>
  <si>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</si>
  <si>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</si>
  <si>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</si>
  <si>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свободен достъп до тях</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</si>
  <si>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 Оценка на пазарния потенциал на научните разработки;</t>
  </si>
  <si>
    <t xml:space="preserve">• участие в научни форуми, </t>
  </si>
  <si>
    <t>• организиране на международни научни форуми;</t>
  </si>
  <si>
    <t xml:space="preserve">5. Подкрепа за високотехнологични стартиращи предприятия </t>
  </si>
  <si>
    <t>RCO 05 - Стартиращи предприятия</t>
  </si>
  <si>
    <t>общо 009+021</t>
  </si>
  <si>
    <t>ЦК+ЦВП</t>
  </si>
  <si>
    <t>1.2 Изследвания</t>
  </si>
  <si>
    <t xml:space="preserve">Индикативен брой проекти </t>
  </si>
  <si>
    <t>Нужди</t>
  </si>
  <si>
    <t xml:space="preserve">Цел на политиката </t>
  </si>
  <si>
    <t>Приоритет</t>
  </si>
  <si>
    <t>Специфични цели</t>
  </si>
  <si>
    <t>свързаните видове действия, включително списък на планираните операции от стратегическо значение и на техния очакван принос за постигането на тези специфични цели и за макрорегионалните стратегии и стратегиите за морските басейни, където е целесъобразно;</t>
  </si>
  <si>
    <t>показателите за крайния продукт исъс съответните междинни цели и целеви стойности;</t>
  </si>
  <si>
    <t>показателите за резултата със съответните междинни цели и целеви стойности;</t>
  </si>
  <si>
    <t>Кодове на интервенции</t>
  </si>
  <si>
    <t xml:space="preserve">План за финансиране (в евро, европейско финансиране)  </t>
  </si>
  <si>
    <t>видове интервенции и примерна разбивка на програмираните средства в зависимост от вида интервенция или област на подпомагане;</t>
  </si>
  <si>
    <t>планирано използване на техническа помощ в съответствие с членове 30—32 и съответните видове интервенции;</t>
  </si>
  <si>
    <t>планирано използване на финансови инструменти;</t>
  </si>
  <si>
    <t>основните целеви групи;</t>
  </si>
  <si>
    <r>
      <t xml:space="preserve">специфични целеви територии, </t>
    </r>
    <r>
      <rPr>
        <b/>
        <sz val="9"/>
        <color rgb="FF000000"/>
        <rFont val="Times New Roman"/>
        <family val="1"/>
        <charset val="204"/>
      </rPr>
      <t xml:space="preserve">включително </t>
    </r>
    <r>
      <rPr>
        <b/>
        <sz val="9"/>
        <color theme="1"/>
        <rFont val="Times New Roman"/>
        <family val="1"/>
        <charset val="204"/>
      </rPr>
      <t xml:space="preserve">планирано </t>
    </r>
    <r>
      <rPr>
        <b/>
        <sz val="9"/>
        <color rgb="FF000000"/>
        <rFont val="Times New Roman"/>
        <family val="1"/>
        <charset val="204"/>
      </rPr>
      <t>използване на интегрирани териториални инвестиции, водено от общностите местно развитие или други териториални инструменти;</t>
    </r>
  </si>
  <si>
    <r>
      <t>междурегионални и транснационални действия, при които бенефициерите се намират поне в още една друга държава членка</t>
    </r>
    <r>
      <rPr>
        <b/>
        <sz val="9"/>
        <color rgb="FF000000"/>
        <rFont val="Times New Roman"/>
        <family val="1"/>
        <charset val="204"/>
      </rPr>
      <t>;</t>
    </r>
  </si>
  <si>
    <t>подпомагане на сътрудничеството между научните изследвания и предприятията, трансфера на технологии и търговската реализация на резултатите от научните изследвания;</t>
  </si>
  <si>
    <t xml:space="preserve">Цел на политиката 1 "По-интелигентна Европа чрез насърчаване на иновативния и интелигентен икономически преход </t>
  </si>
  <si>
    <t xml:space="preserve">Приоритет 3: Научна инфраструктура и приложни изследвания
</t>
  </si>
  <si>
    <t>Специфична цел i) Засилване на капацитета за научни изследвания и иновации и на въвеждането на модерни технологии</t>
  </si>
  <si>
    <t>1. Модернизиране на научноизследователската инфраструктура и оборудване, в т.ч. съпътстващата инфраструктура в одобрени проекти по направление "Sharing Excellence" на Хоризонт Европа.</t>
  </si>
  <si>
    <t xml:space="preserve">003-Инвестиции в дълготрайни активи на публични изследователски центрове и висши учебни заведения пряко свързани с научноизследователски и иновационни дейности;
</t>
  </si>
  <si>
    <t>RCO 08 Номинална стойност на оборудването за научни изследвания и иновации</t>
  </si>
  <si>
    <t xml:space="preserve">RCR 01 Работни места, създадени в подкрепяните инфраструктури
</t>
  </si>
  <si>
    <t>Изследователи в научни организации, преподаватели в университети, докторанти, постдокторанти, млади учени, студенти, представители на бизнеса.</t>
  </si>
  <si>
    <t>006- Инвестиции в нематериални активи на публични изследователски центрове и висши учебни заведения, пряко свързани с научноизследователски и иновационни дейности;</t>
  </si>
  <si>
    <t>Общо 003+006</t>
  </si>
  <si>
    <t>2. Подкрепа за пазарно ориентирани приложни научни изследвания (TRL 4-6), включително чрез привличане на млади учени и международно утвърдени висококвалифицирани учени за проекти по стълб II на Хоризонт Европа, получили печат за високи постижения</t>
  </si>
  <si>
    <t>009- Научноизследователски и иновационни дейности в публични научноизследователски центрове, висши учебни заведения и специализирани експертни центрове, вкл. изграждане на мрежи (индустриални научни изследвания, експериментално развитие, проучвания за осъществяване на осъществимост);</t>
  </si>
  <si>
    <t xml:space="preserve">RCO 06 Изследователи, работещи в подкрепяни обекти за научни изследвания - </t>
  </si>
  <si>
    <t>RCR 08 — Публично-частни съвместни публикации</t>
  </si>
  <si>
    <t>3. Интернационализация за проекти по стълб II на Хоризонт Европа, получили печат за високи постижения, чрез:</t>
  </si>
  <si>
    <t>RCO 07 Научноизследователски институции участващи в съвместни проекти за научни изследвания;</t>
  </si>
  <si>
    <t>Изграждане на мрежи и съвместна научно-изследователска дейност с водещи европейски научни организации и университети</t>
  </si>
  <si>
    <t>Създаване на стратегически партньорства с изследователски и иновациони центрове и европейски инфраструктури и специализиация на учени от подкрепените центрове във водещи европейски научни и иновационни центрове</t>
  </si>
  <si>
    <t>Обмяна на опит и привличане на  водещи световни водещи учени и специалисти за изнасяне на лекции, практически курсове и съвместно разработване на нови методи, техники и др., свързани с използването на инфраструктурата</t>
  </si>
  <si>
    <t>4. Разпространение и трансфер на научни резултати за проекти по стълб II на Хоризонт Европа, получили печат за високи постижения, в т.ч.</t>
  </si>
  <si>
    <t>021- Трансфер на технологии и сътрудничество между предприятията, изследователските центрове и висшето образование;</t>
  </si>
  <si>
    <t>RCO 10 Предприятия, които си сътрудничат с научноизследователски институции</t>
  </si>
  <si>
    <t>RCR 06 — Заявка за патент, подадена пред Европейското патентно ведомство</t>
  </si>
  <si>
    <t>• публикуване на научните резултати с осигурен отворен достъп</t>
  </si>
  <si>
    <t>• дейности по защита и прехвърляне на права по интелектуална собственост (подготовка на заявки за патенти и полезни модели и тяхната поддръжка; марки и други форми на  интелектуалната собственост; Оценка на пазарния потенциал на научните разработки;</t>
  </si>
  <si>
    <t xml:space="preserve">• участие в научни форуми, </t>
  </si>
  <si>
    <t>• организиране на международни научни форуми;</t>
  </si>
  <si>
    <t>Общо 009+021</t>
  </si>
  <si>
    <t>Индикативен брой инфр. Проекти sharing excellence</t>
  </si>
  <si>
    <t>Идикат брой проекти стълб 2</t>
  </si>
  <si>
    <t>По-слабо развити региони</t>
  </si>
  <si>
    <t>ДП</t>
  </si>
  <si>
    <t>Преход</t>
  </si>
  <si>
    <t>Принос на ЕС без стойност за гъвкавост</t>
  </si>
  <si>
    <t>Ориентировъчно разпределение на‭ ‬приноса на ЕС</t>
  </si>
  <si>
    <t>Стойност за гъвкавост</t>
  </si>
  <si>
    <t>За програмите по цел „Инвестиции за работни места и растеж“ обаче за всяка програма във всяка държава членка се запазва сума, съответстваща на 50 % от участието за 2026 г. и 2027 г. („сума за гъвкавост“),само след приемането на решението на Комисията след междинния преглед по член 18.</t>
  </si>
  <si>
    <t>%</t>
  </si>
  <si>
    <t>стойност за гъвкавост</t>
  </si>
  <si>
    <t>(О1-1) Аналитични доклади и стратегически документи</t>
  </si>
  <si>
    <t>Цел (2029)</t>
  </si>
  <si>
    <t>брой</t>
  </si>
  <si>
    <t>Мерна единица</t>
  </si>
  <si>
    <t>Етапна цел (2024)</t>
  </si>
  <si>
    <t xml:space="preserve">(О1-2) </t>
  </si>
  <si>
    <t>Аналитични доклади и стратегически документи</t>
  </si>
  <si>
    <t xml:space="preserve">(О1-2) Хоризонтални и междусекторни оценки </t>
  </si>
  <si>
    <t>(О1-3)</t>
  </si>
  <si>
    <t>(О1-4)</t>
  </si>
  <si>
    <t>Общини</t>
  </si>
  <si>
    <t>ИПА</t>
  </si>
  <si>
    <t>Намалена административна тежест за бенефициентите</t>
  </si>
  <si>
    <t xml:space="preserve">Специфична цел </t>
  </si>
  <si>
    <t>Показатели за краен  продукт</t>
  </si>
  <si>
    <t xml:space="preserve">Определение </t>
  </si>
  <si>
    <t>Методология (метод на изчисляване)</t>
  </si>
  <si>
    <t>Индикативен списък с действия</t>
  </si>
  <si>
    <t>Очаквани постижения/резултати</t>
  </si>
  <si>
    <t>Стойности на кодове за интервенция (финансиране от ЕС) (EUR)</t>
  </si>
  <si>
    <t>Общо (европейско + национално съфинансиране) (BGN)</t>
  </si>
  <si>
    <t>% ЕФРР</t>
  </si>
  <si>
    <t>1. Оптимизиране на средата за изпълнение на СП</t>
  </si>
  <si>
    <t>% от общата стойност на възнагражденията на служителите на ЦКЗ</t>
  </si>
  <si>
    <t>% от общата стойност на възнагражденията на служителите на ОО</t>
  </si>
  <si>
    <t>% от общата стойност на възнагражденията на служителите на СчО</t>
  </si>
  <si>
    <t>% от общата стойност на възнагражденията на служителите на АФКОС</t>
  </si>
  <si>
    <t>% от общата стойност на възнагражденията на служителите на АОП</t>
  </si>
  <si>
    <t xml:space="preserve">(О1-3) Методически указания и проекти на нормативни актове </t>
  </si>
  <si>
    <t>% от общата стойност на възнагражденията на служителите на УО на ПТП</t>
  </si>
  <si>
    <t>Единна информационна система за държавни помощи</t>
  </si>
  <si>
    <t xml:space="preserve">Хоризонтални и междусекторни оценки </t>
  </si>
  <si>
    <t xml:space="preserve">Методически указания и проекти на нормативни актове </t>
  </si>
  <si>
    <t xml:space="preserve">ОГО и СИП, ангажирани с мониторинг и оценка на СП </t>
  </si>
  <si>
    <t>ОГО и СИП, ангажирани с популяризиране на  резултатите от СП</t>
  </si>
  <si>
    <t>(О1-5)</t>
  </si>
  <si>
    <t xml:space="preserve">(О1-7) </t>
  </si>
  <si>
    <t xml:space="preserve">(O1-9) </t>
  </si>
  <si>
    <t>(О2-1)</t>
  </si>
  <si>
    <t>(О2-2)</t>
  </si>
  <si>
    <t>(О2-3)</t>
  </si>
  <si>
    <t>(О2-4)</t>
  </si>
  <si>
    <t>(О3-1)</t>
  </si>
  <si>
    <t xml:space="preserve">(О4-3)  </t>
  </si>
  <si>
    <t>Брой извършени проверки и одити в Системата, завършени с окончателен доклад, изготвен от одитен и/или контролен орган в рамките на правомощията им.</t>
  </si>
  <si>
    <t xml:space="preserve">1. Проверки и/или одити, извършени от Одитиращ орган, Счетоводен орган, АФКОС, АОП.
</t>
  </si>
  <si>
    <t>(О3-2) ОГО и СИП, ангажирани с популяризиране на  резултатите от СП</t>
  </si>
  <si>
    <t>(О4-3) Импресии в социалните мрежи и платформи</t>
  </si>
  <si>
    <t xml:space="preserve">Подобрени процеси по управление и контрол на средствата от фондовете на РОР;
Намален брой на констатациите с висок риск;
Намален брой грешки, отчетени по програмите от СП.
</t>
  </si>
  <si>
    <t>Подобрена електронна среда за подготовка, изпълнение, мониторинг, контрол, управление на програми от СП;
Подобрена електронна среда за събиране, обработка и анализ на данни за оценки, необходими за целите на оценките на  програми от СП;
Бързо адаптиране на ИСУН към нуждите на потребителите на системата;
Намалена административна тежест за УО-и, кандидати и бенефициенти.</t>
  </si>
  <si>
    <t xml:space="preserve">Подобрена електронна среда за кандидатстване и оценка на проектни предложения по програми от СП;
Бързо адаптиране на ИСУН към нуждите на потребителите на системата;
Намалена административна тежест за УО-и и кандидатите.
</t>
  </si>
  <si>
    <t>Поддържане на високи нива на компетентност,‭ ‬мотивация и ангажираност на служителите,‭ ‬които да гарантират ефективното изпълнение на задълженията по политиката на сближаване (‬включително методически функции по отношение на плавния преход между програмните периоди:‭ 2014-2020, 2021-2027 и финансовата перспектива след 2027 г.).</t>
  </si>
  <si>
    <t>Осигурен компетентен, силно мотивиран, ангажиран и опитен персонал и експертиза за Системата;
Ниско текучество на персонала.</t>
  </si>
  <si>
    <t xml:space="preserve">Индикаторът измерва степента на придобитите знания само от обученията по хоризонтали теми, отчетени в индикатор О2-1.
Под успешно преминаване на тест за усвоени знания се разбира постигане на поне 75% верни отговори на финалния тест.
</t>
  </si>
  <si>
    <t>1. обучения по хоризонтални теми, за които е отчетено разработване на обучителен модул в индикатор О2-1. 
- Разработване на тест за % на усвоените знания;
- Обобщаване на резултатите от проведените тестове;  
- Текущо изпращане на обратна връзка до институцията, разработила съответния обучителен модул.</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</si>
  <si>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 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Повишено качеството на обучението;
Повишена мотивацията на участниците в събитията.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</si>
  <si>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По-висока степен прозрачност и отчетност при изпълнението на СП.</t>
  </si>
  <si>
    <t xml:space="preserve">Брой импресии, отчетени от статистиката в съответните профили на управлявани от бенефициентите на ПТП (ЦКЗ, ОИЦ и др.) социални платформи.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</si>
  <si>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По-силно чувство за собственост върху резултатите от страна на гражданите;
По-висока степен прозрачност и отчетност при изпълнението на СП.</t>
  </si>
  <si>
    <t>Самооценката на анкетираните български граждани на възраст над 15 години се отчита чрез национално представително социологическо проучване, проведено през 2024 и 2029 г.
Изследването се провежда най-малко два пъти по време на програмния период, следвайки единна методология, която позволява сравнимост на данните.
Въз основа на исторически данни от програмния период 2014-2020 г. е направено предположение за поддържане на нивото на информираност, което е високо в сравнение с останалите държави-членки на ЕС.</t>
  </si>
  <si>
    <t xml:space="preserve">1. Организиране на информационни събития, подготовка и разпространение на информационни материали, поддържане на Единния информационен портал www.eufunds.bg и Информационната система за управление и наблюдение (ИСУН), профили в социалните мрежи и всички действия за повишаване на осведомеността за фондовете на РОР сред широката общественост.
</t>
  </si>
  <si>
    <t xml:space="preserve">1. 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</si>
  <si>
    <t>(О1-4) Проверки и одити, извършвани от одитиращи и/или контролни органи</t>
  </si>
  <si>
    <t>(О1-6) Единна информационна система за държавни помощи</t>
  </si>
  <si>
    <t>(О1-7) Нови функционалности на ИСУН</t>
  </si>
  <si>
    <t>(О1-8) Намалена административна тежест за кандидатите</t>
  </si>
  <si>
    <t>(О1-9) Намалена административна тежест за бенефициентите</t>
  </si>
  <si>
    <t xml:space="preserve">(О1-6) </t>
  </si>
  <si>
    <t xml:space="preserve">(O1-8) </t>
  </si>
  <si>
    <t xml:space="preserve">(О1-10) </t>
  </si>
  <si>
    <t xml:space="preserve">Създадена култура за оценки в Системата;
Оптимизиран процес по събиране, обобщаване и анализ на данни, необходими за оценки на политиките от СП;
Разпространени аналитични и оценителни доклади за Системата;
Оптимизирани административни процеси/ процедури в Системата в резултат на отправени препоръки от извършени оценки;
</t>
  </si>
  <si>
    <t xml:space="preserve">(О4-4) Ниво на информираност за програмите от СП
</t>
  </si>
  <si>
    <t>(О2-4) ОГО с повишен капацитет</t>
  </si>
  <si>
    <t>(О2-5) Общини с повишен капацитет</t>
  </si>
  <si>
    <t xml:space="preserve">Брой общини - бенефициенти по ПТП и/или целева група по проекти по ПТП, подкрепени за повишаване на общински капацитет за стратегическо планиране и активно участие в инициативи на ЕС.
</t>
  </si>
  <si>
    <t xml:space="preserve">Повишен капацитет на  общини за активното им ангажиране при изпълнението на СП;
Намален брой нередности;
Качествени и полезни за местните общности ИТИ; 
Повишен общински капацитет за стратегическо планиране и активно участие в инициативи на ЕС; 
Осигурена квалифицирана експертна подкрепа за общините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</si>
  <si>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АКТУАЛИЗИРАНА Е СЪГЛАСНО ПОСЛЕДНОТО ПИСМО ОТ ЦКЗ!!!</t>
  </si>
  <si>
    <t>Подобрена електронна среда за мониторинг и верификация на проекти по програми от СП;
Бързо адаптиране на ИСУН към нуждите на потребителите на системата;
Намалена административна тежест за УО-и и бенефициентите.</t>
  </si>
  <si>
    <t>(О2-5)</t>
  </si>
  <si>
    <t>Общини с повишен капацитет</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</si>
  <si>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</si>
  <si>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1. Развитие на Академията за фондовете на ЕС, която да осигури възможност за повишаване на квалификацията и уменията на служителите в рамките на Системата, както и на ключовите групи бенефициенти по програмите (вкл. общини) по хоризонтални/междусекторни теми/области чрез:
- Разработване на обучителни модули, въз основа на оценка на базовите компетенции на целевите групи, и осигуряване на лектори от съответните администрации, отговорни за ключови хоризонтални области като режими на помощ, обществени поръчки, намаляване на броя и тежестта на нередностите, включително измами и корупция, одит, централна координация на средствата от фондовете, НРПД и др.  
- Провеждане на хоризонтални обучения и последваща оценка в специализирана електронна среда на нивото на компетенции.
- Регулярен анализ на резултатите от оценяването и актуализиране на обучителното съдържание и използвани методи, съобразно обратната връзка от участниците. 
2. Провеждане на специализирани обучения за външни оценители на проекти със специален фокус върху прилагането на правилата за фондовете на РОР и ефективно използване на ИСУН;
3. Участие в специализирани събития на национални и европейски центрове за обучение на служителите от хоризонталните звена на Системата;
4. Участие в работни групи, семинари, конференции за трансфер на добри практики, организирани от европейски и национални институции.
  </t>
  </si>
  <si>
    <t xml:space="preserve">Информираността на широката общественост за програмите от СП се измерва чрез самооценка на респондентите относно познаването на проекти/дейности/резултати, съ-финансирани по програмите от СП. </t>
  </si>
  <si>
    <t>(О3-3) Пактове за почтеност</t>
  </si>
  <si>
    <t>(О3-2)</t>
  </si>
  <si>
    <t>(О3-3)</t>
  </si>
  <si>
    <t xml:space="preserve">(О4-1) </t>
  </si>
  <si>
    <t xml:space="preserve">(О4-2)  </t>
  </si>
  <si>
    <t xml:space="preserve">(O4-4) </t>
  </si>
  <si>
    <t>Обществени консултации, медиации и презентации</t>
  </si>
  <si>
    <t>Пактове за почтеност</t>
  </si>
  <si>
    <t xml:space="preserve">Делът се измерва като броят на служителите, постигали поне 75% верни отговори на финалния тест от обучение се разделя на броя на всички служители, преминали обучение по хоризонтална тема. 
Един служител е възможно да е завършил успешно повече от едно обучение. 
Показателят се отчита от бенефициентите два пъти годишно с натрупване от началото на проекта чрез предоставяне на УО на информация % на успешно преминали обучение. 
В допълнение бенефициентът следва да предоставя на УО и информация за общия брой на участниците в обучение, постигали поне 75% верни отговори на финалния тест. 
УО изчислява кумулативно показателя към 30 юни и 31 декември на база генерирана информация от всички бенефициенти към съответния отчетен период. 
</t>
  </si>
  <si>
    <t xml:space="preserve">Отчита се броят на подкрепените общини, вкл.  чрез осигуряване на квалифицирана експертна подкрепа за общините.
Всеки бенефициент текущо предоставя на УО информация за броя на подкрепени  общини. 
УО изчислява кумулативно показателя към 30 юни и 31 декември.
</t>
  </si>
  <si>
    <t>Всеки бенефициент предоставя обобщена информация за броя на импресиите, постигнати в профилите в социалните медии, управлявани от него през отчетния период.
УО изчислява кумулативно показателя към 30 юни и 31 декември.</t>
  </si>
  <si>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По-добро изпълнение на СП и по-силно чувство за собственост върху резултатите от страна на гражданите.
</t>
  </si>
  <si>
    <t>Служители на Системата, чиито възнаграждения се възстановяват (среднопретеглена стойност)</t>
  </si>
  <si>
    <t>1. Развитие на www.eufunds.bg чрез разработване и добавяне на:
- огледална версия за програмен период 2021+; 
- заявка за ел. бюлетин чрез бутон „RRS съобщения“; 
- адаптиране за хора със зрителни увреждания; 
- текуща актуализация за двата периода с фокус върху подхода ИТИ; 
- разпространение на информация и добри практики относно стратегиите за постигане на устойчивост към изменението на климата, особено на регионално равнище и др.</t>
  </si>
  <si>
    <t xml:space="preserve">Бенефициентът, отговорен за разработването и подкрепата на ИСУН, предоставя текущо информация за разработени и внедрени функционалности.
УО изчислява кумулативно показателя към 30 юни и 31 декември.
</t>
  </si>
  <si>
    <t xml:space="preserve">Осигурен компетентен, силно мотивиран, ангажиран и опитен персонал и експертиза за Системата;
Повишено качество на управление и изпълнение на проекти по програмите от СП чрез укрепване на капацитета на  ключови бенефициенти;
Мултиплицирани резултати от проведени анализи и проучвания, извършени от бенефициенти по програмата;
Подобрени, синхронизирани и унифицирани административни процеси/процедури в Системата; 
Намален брой на основните констатации от системни одити и грешки с финансово въздействие по програмите от СП;
Повишено ниво на превенция и откриване на нередности, измами и корупция в проекти, финансирани от фондове по РОР.
                                                                                                        </t>
  </si>
  <si>
    <t xml:space="preserve">1. Идентифициране на стратегически проекти от програмите от СП (съвместно между УО на ПТП, ЦКЗ и УО на програмите от СП);
2. Избор на НПО (бенефициент) за изпълнение на пактовете;
3. Осъществяване на мониторинг от страна на НПО на всички етапи от изпълнението на стратегическите проекти (изпълнение на проектните дейности, избор на изпълнители, изпълнение на сключени договори с външни изпълнители, изпълнение на индикатори); 
4. Комуникиране на резултатите от всеки етап от пакта със заинтересованите страни. </t>
  </si>
  <si>
    <t xml:space="preserve">Брой извършени пактове за почтеност на стратегически проекти по програмите от СП. 
Под извършен пакт за почтеност се разбира цялостен мониторинг на изпълнението на стратегическия проект от сключването на договор за БФП със съответния УО до одобрение на окончателния технически доклад. В случай, че по съответния стратегически проект се планират повече от една обществена поръчка, то пактът за почтеност трябва да покрие поръчката с най-висока прогнозна стойност или най-голяма сложност или с най-висок обществен интерес, която спомага за постигане на основната цел на проекта. </t>
  </si>
  <si>
    <t xml:space="preserve">Вид интервенции и индикативно разпределение на ресурсите по ПТП по вид интервенция или област на подкрепа </t>
  </si>
  <si>
    <t xml:space="preserve">Брой изготвени/актуализирани методически указания, разпространени в Системата и брой на влезлите в сила нови/ актуализирани национални нормативни актове за управлението и контрола на ЕСИФ/фондовете на РОР. </t>
  </si>
  <si>
    <t xml:space="preserve">Методически насоки и национални разпоредби за управление и контрол на средствата по ЕСИФ/фондовете на РОР; 
Оптимизирани административни процеси/ процедури във всички структури на Системата; 
Намален брой основни констатации от системни одити и грешки с финансово въздействие;
Намалена административна тежест за кандидати и бенефициенти;
Намален брой на грешките на кандидати и бенефициенти;
Повишено ниво на превенция и откриване на нередности, измами и корупция в проекти, финансирани от фондове на РОР;
Използване на добри практики, по-широко използване на опростени разходи, зелени и устойчиви обществени поръчки и др.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</si>
  <si>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 брой необходими документи за кандидатстване по обявените процедури по всички програми през съответното календарно шестмесечие на 16.1, което е средният брой необходими документи през програмния период 2014-2020 г. и получената стойност се умножи по 100%. 
Х = (1,00- среден брой на изискуеми документи за отчетен период/16,1)*100 %.
Индикаторът се изчислява средноаритметично за всички отчетни периоди в периода 2023-2029.
</t>
  </si>
  <si>
    <t xml:space="preserve">1. Подобряване на процесите по подготовка, изпълнение, мониторинг, контрол, управление на програми от СП; 
2. Интеграция с други системи и регистри, в това число хоризонталните системи на електронното управление и с НГП и др.
</t>
  </si>
  <si>
    <t xml:space="preserve">Показателят се отчита на шестмесечие, към 30 юни и 31 декември на съответната година. 
Стойността на показателя за съответното шестмесечие се изчислява като от 1,00 се изважда отношението на средният брой изискуеми декларации за отчет по проекти по програми през отчетния период на 6,56, което е средният брой декларации на отчет през програмен период 2014-2020 г. и се умножи по 100.
Х = (1,00- среден брой на изискуеми декларации за отчетен период/6,65)*100 %.
Индикаторът се изчислява средноаритметично за всички отчетни периоди в периода 2023-2029.
</t>
  </si>
  <si>
    <t>Всеки бенефициента предоставя текущо на УО информация за проведените събития през отчетния период заедно с доказателства относно тяхното провеждане. 
Отчитат се присъствени, дистанционни събития, форуми, както и всяка документирана инициатива за обществени консултации, медиации и информиране на заинтересовани страни.    
УО изчислява кумулативно показателя към 30 юни и 31 декември.</t>
  </si>
  <si>
    <t xml:space="preserve">Брой разработени/актуализирани аналитични доклади и стратегически документи.
Всеки доклад и документ трябва да бъде консултиран с и разпространен до всички заинтересовани страни (структури в Системата, партньорски организации и др.).
</t>
  </si>
  <si>
    <t>Индикаторът измерва процентното намаление на административната тежест за бенефициентите, като отчита средния брой изискуеми декларации за един отчет (2021-2027) спрямо средния брой необходими декларации за програмен период 2014-2020. Основната стойност на показателя е 100%, което се равнява средно на 6,56 декларации на отчет, изчислено въз основа на данните в ИСУН за програмите, финансирани от ЕСФ, ЕФРР, КФ, ЕФМДР и ФЕПНЛ за периода 2014-2020.</t>
  </si>
  <si>
    <t xml:space="preserve">Съответният бенефициент (НПО) отчита текущо приключили пактове за почтеност. 
Изпълнението на пакт се отчита с представяне на:
1. Годишни доклади за текущото изпълнение на стратегическия проект. Бенефициентът трябва да комуникира докладите със съответния УО и бенефициент. Представя се доклад за всяка календарна година от изпълнението на проекта. 
2. Обобщен доклад за проведена обществена поръчка (ОП) за избор на изпълнител, който включва становище за документация на ОП, за работа на оценителна комисия, за изпълнение на сключения договор. Докладите трябва да бъдат комуникирани със съответния УО и бенефициент. 
3. Доказателства за текущо представяне на резултатите от пакта пред заинтересованите страни.  
УО изчислява кумулативно показателя към 30 юни и 31 декември.
</t>
  </si>
  <si>
    <t xml:space="preserve">Всеки бенефициент текущо предоставя на УО информация за броя на контролите или одитите, завършени с окончателен доклад.
УО изчислява кумулативно показателя към 30 юни и 31 декември.
</t>
  </si>
  <si>
    <t xml:space="preserve">Повишен процент на отстранени грешки, в следствие на подобрен предварителен контрол;
Повишаване на качеството на проверките, извършвани от АОП; 
Подобрени процеси по управление и контрол на средствата от фондовете на РОР;
Намален брой на констатациите с финансов изражение;
Намален брой грешки, отчетени по програмите от СП.
</t>
  </si>
  <si>
    <t xml:space="preserve">1. Синхронизиране на извършваните от АОП контроли и процедури с тези извършвани от УО и ОО;
2. Подготовка на обучителен модул от ОО за обучение на служителите на АОП по сихронизираните правила;
3. Провеждане на обучение на всички служители на АОП, отговрни за извършването на предварителен контрол по процедури, финансирани от фондовете на РОР;
4. Надграждане на функционалността на ЦАИС ЕОП за филтриране на процедурите за ОП, финансирани от фондовете на РОР;
5. Въвеждане на отделна методологията на АОП само за процедури, финансирани от фондовете на РОР, чрез която се селектират процедури подлежащи на предварителен контрол.
</t>
  </si>
  <si>
    <t>Дял на процедурите, преминали предварителен контрол от АОП, по които има наложена финансова корекция за нарушения в подготвителната фаза</t>
  </si>
  <si>
    <t>(О1-5) Дял на процедурите, преминали предварителен контрол от АОП, по които няма наложена финансова корекция за нарушения в подготвителната фаза</t>
  </si>
  <si>
    <t xml:space="preserve">Чрез индикатора се измерва подобрението в качеството на обществените поръчки по проекти, финансирани от фондовете на РОР в резултат на предварителен контрол, извършен от АОП. 
Проверките на АОП са свързани с подготовката на обществената поръчка за възлагане и обявяване, т.е. формулиране на нейния предмет и избор на реда, по който тя ще бъде проведена, формулиране на критериите за подбор и възлагане, техническите спецификации и методиката за оценка, както и определяне на сроковете за получаване на оферти. 
В този смисъл ще се измерва дали при процедурите, които е били обект на проверка от АОП са установени нарушения при последващ контрол от УО или ОО, свързани с подготовката на обществената поръчка за възлагане и обявяване.
Базовата стойност на индиактора е 91,79 % и е определена въз основа на налични в ИСУН данни за периода от 01.04.2020 до 31.08.2022 г. (след въвеждане на контролни листове за последващ контрол в структуриран вид в ИСУН). Към момнета на формиране на индикатора в ИСУН има налична информация само за наложените от УО финансови корекции. Т.е. в измерването на базовата стойност не са взети предвид наложените финансови корекции по предложение на ОО. </t>
  </si>
  <si>
    <t xml:space="preserve">Индикаторът се изчислява служебно от УО на ПТП два пъти годишно към 30 юни и 31 декември.
УО на ПТП изчислява текущата комулативна стойност на показателя на база наличната информация в ИСУН относно извършения последващ контрол и наложени финансови корекции от УО и ОО от началото на програмния период до текущия момент.
Текущата стойност на индикатора се изчислява по формулата: (брой на процедурите, преминали предварителен контрол от АОП без установени нарушения при последващ контрол от УО или ОО, свързани с подготовката на обществената поръчка за възлагане и обявяване)/(брой на процедурите, преминали предварителен контрол от АОП)*100%.
</t>
  </si>
  <si>
    <t>АФКОС</t>
  </si>
  <si>
    <t>АОП</t>
  </si>
  <si>
    <t>Всеки бенефициент текущо предоставя на УО информация за броя на изготвените/актуализирани аналитични доклади (вкл. доклади за изпълнение, годишни доклади за състоянието на Системата) и стратегически документи през отчетния период.
Отчитат се доклади и документи, изготвени както от външни изпълнители, така и от служители на съответния бенефициент.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</si>
  <si>
    <t>1. Набиране,‭ ‬обобщаване и/или анализ на информация от работата на Системата (ЦКЗ):
- териториално разпределение на средства от ЕСИФ;
- входящи данни за хоризонтални оценки;
- подходящи области за стандартизиране и опростяване; 
- резултати от проучвания за нужда от обучение и обратна връзка от участници в обучения;
- подходящи комуникационни мерки за повишаване на доверието в системата. 
2. Провеждане консултации, анализи, проучвания  и др. за осигуряване на координирано и допълващо планиране, изпълнение на междусекторни и междупрограмни инициативи и инструменти за насърчаване на по-висока добавена стойност на инвестициите от ЕС (ЦКЗ);
3.  Оптимизиране на вторичната законодателна рамка за управление на средствата от фондовете на ЕС, като бъдат взети предвид и резултатите от проучването, проведено в рамките на аналитичния етап на разработване на националната пътната карта за изграждане на АК (ЦКЗ);
4. Изготвяне на годишен анализ на основните констатации от одити на системата и годишен анализ на грешки с финансово въздействие от одита на операциите. (ОСЕС)
5. Изготвяне на годишен анализ на основните констатации от проверки за открити нередности, включително измами, и последващи действия (АФКОС);
6. Изготвяне на годишен анализ на основните грешки, свързани с правилата за държавни помощи (ДП);
7. Подготовка на стратегии и пътни карти за Системата.  (ЦКЗ).</t>
  </si>
  <si>
    <r>
      <t>Разработени и разпространени аналитични доклади и стратегически документи на Системата;
Оптимизирани административни процеси/ процедури в Системата; 
Повишено ниво на превенция и борба с нередностите и измамите;
Актуализирана национална пътна карта на административен капацитет.</t>
    </r>
    <r>
      <rPr>
        <b/>
        <sz val="9"/>
        <color theme="1"/>
        <rFont val="Times New Roman"/>
        <family val="1"/>
        <charset val="204"/>
      </rPr>
      <t xml:space="preserve">
</t>
    </r>
  </si>
  <si>
    <t xml:space="preserve">Брой хоризонтални и междусекторни оценки, извършени и проследени в съответствие с Плана за оценка на ПТП/СП. В следствие на всяка извършена оценка е утвърден план за действие, който трябва да бъде проследяван най-малко една година след издаване на окончателен доклад. 
Всеки доклад от оценка и документ за събрани данни на хоризонтално ниво е консултиран с и разпространен сред всички заинтересовани страни (структури в Системата, партньорски организации и др.).
</t>
  </si>
  <si>
    <t>Бенефициентите текущо предоставят на УО информация за броя на хоризонталните и/ или междусекторни оценки през отчетния период;
Отчитат се оценки, извършени както от външни изпълнители, така и от независими структури в Системата;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 1-1, O 1-2, O 1-3, and O 2-1 са с едни и същи теми.</t>
  </si>
  <si>
    <t xml:space="preserve">1. Разработване на национален план за оценка, включващ всички планирани хоризонтални и програмни оценки;
2. Развитие на капацитета на ЦКЗ за извършване на хоризонтални оценки и създаване на бюро за помощ/ група от експерти към ЦКЗ за преглед на оценките на програмите с цел подобряване на тяхното качество;
3. Разработване на стандарти за оценка и насърчаване на прилагането им при оценка на програмите;
4. Засилване на дейността на междуведомствената работна група за оценка като допълващ инструмент за мониторинг, платформа за обмяна на опит и механизъм за подобряване на качеството на оценките.
5. Развитие на капацитета за извършване на оценки в рамките на Системата и извън нея, вкл. чрез подкрепата на Helpdesk за оценка на ЕК, насърчаване изграждането на общност на професионалистите в областта на оценката (evaluation society), сътрудничество с академичната и изследователската общности, организиране на конференции в областта на оценката и др.;
6. Насърчаване на активно сътрудничество в рамките на Мрежата за оценка към ГД „Регионална и селищна политика“ и Партньорството за оценка към ГД „Трудова заетост, социални въпроси и приобщаване“ на ЕК с цел трансфер на добри практики;
7. Набиране,‭ ‬обобщаване и/или анализ на данни на хоризонтално ниво за изпълнение на политиките, финансирани от фондовете на РОР;
8. Повишаване на обема на отворените данни за изпълнението на програмите по СП;  
9. Насърчаване на споделено събиране и използване на данни за околна среда (зелена сделка и Националната рамка за приоритетни действия по Натура 2000 ), интелигентни общности, мобилност, производство, селско стопанство, културно наследство, здравеопазване, медии, финанси, умения, език, обществени поръчки, сигурност и правоприлагане;
10. Предоставяне на обобщени данни за целите на оценки на заинтересованите УО-и;
11. Провеждане на изследвания, консултации, анализи, проучвания, оценки на въздействието и др. за осигуряване на координирано и допълващо планиране, изпълнение и оценка на междусекторни и междупрограмни инициативи и инструменти за насърчаване на по-висока добавена стойност на инвестициите от ЕС;
12. Разработване на информационно и/или обучително съдържание на база изводите и препоръките от извършените оценки.
13. Изпълнение и проследяване на препоръки от  оценителните доклади за оптимизиране на административни процеси/процедури в Системата.
</t>
  </si>
  <si>
    <t>Всеки бенефициент текущо предоставя на УО информация за броя на разработените/ актуализирани методически насоки, разпространени сред звената в системата и броя на новите/ актуализирани нормативни актове.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</si>
  <si>
    <t xml:space="preserve">1. Разработване на методически насоки за рационализиране на правилата и процедурите за подобрена ефективност при управлението на средствата по ЕСИФ/фондовете на РОР:
- Систематичен анализ и популяризиране на добрите практики, споделяни в транснационалните мрежи по опростени варианти на разходите по ЕФРР/КФ и ЕСФ   — заедно с подгрупата на тези мрежи, съсредоточени върху подходи, основани на резултатите; 
- Насърчаване на използването на възможностите по член 37 и член 95 от Регламент (ЕС) 2021/1060 (финансиране, което не е свързано с разходи) на база опита от изпълнението на Националния план за възстановяване и устойчивост като подход, основан на резултатите. 
- Насърчаване на зелени и устойчиви обществени поръчки;
- Насоки за използване на алтернативни методи за разкриване на измами и др.;
- Насоки и наръчници за избягване на често срещани грешки, открити по време на одитите на операциите и др.
2. Изготвяне на наръчници, документи и експертни становища, свързани с прилагането на държавна помощ, обществени поръчки, откриване (използване на подходящи червени флагове), докладване и осигуряване на последващи действия във връзка с нередности и измами, засягащи финансовите интереси на ЕС, одит и контрол. Превод и адаптация на международни насоки и тълкуване на съдебната практика.
3. Разработване на нови/ актуализирани национални разпоредби за средствата по ЕСИФ/ фондовете на РОР; 
4. Разработване на информационно и/или обучително съдържание. </t>
  </si>
  <si>
    <t>Брой разработени и внедрени нови функционалности на ИСУН за подготовка, изпълнение, мониторинг, контрол, управление и оценка на средствата от фондовете на РОР.</t>
  </si>
  <si>
    <t>Функционалности за:
1. Подобряване на процесите по подготовка, изпълнение, мониторинг, контрол, управление на програми от СП; 
2. Събиране, структуриране, обработка и анализ на данни, необходими за целите на оценките на  програми от СП;
3. Интеграция с други системи и регистри, в това число хоризонталните системи на електронното управление и с НГП и др.
4. Развитие на ИСУН като инструмент за намаляване на административната тежест, за събиране на структурирани данни и за осигуряване на оперативна съвместимост и интеграция на данни; 
5. Създаване на „кол център“ в помощ на кандидатите за предоставяне на информация за поканите за набиране на проектни предложения.</t>
  </si>
  <si>
    <t xml:space="preserve">Индикаторът измерва процентното намаление на административната тежест за кандидатите, като отчита средния брой изискуеми документи за една процедура (2021-2027) спрямо средния брой необходими документи за програмен период 2014-2020. Основната стойност на показателя е 100%, което се равнява средно на 16.1 документа на процедура, изчислено въз основа на данните в ИСУН за програмите, финансирани от ЕСФ, ЕФРР, КФ, ЕФМДР и ФЕПНЛ за периода 2014-2020. 
</t>
  </si>
  <si>
    <t>Брой служители на хоризонтално ниво в органи/звена от Системата на служебно или трудово правоотношение), вкл. служители на УО на ПТП, чиито възнаграждения се възстановяват по програмата при еквивалент на пълна заетост.</t>
  </si>
  <si>
    <r>
      <t xml:space="preserve">Показателят се отчита на шестмесечие, към 30 юни и 31 декември на съответната година. 
Възстановяват се брутни възнаграждения, изплатени по служебни или трудови правоотношения, вкл. задължителните осигурителни вноски за сметка на работодателя.
Всеки бенефициент предоставя на УО на шестмесечна база анализ на заетостта си (разпределение на работното време между програмите от СП и други) въз основа на планиране на дейността му и при отчитане на утвърдените му функции и задължения във връзка с подготовка, управление, мониторинг, оценка, видимост и комуникация, контрол и одит на фондовете на РОР. В резултат на извършения анализ се получава среден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Всеки бенефициент предоставя информация на УО на шестмесечна база за средния брой на </t>
    </r>
    <r>
      <rPr>
        <sz val="9"/>
        <color theme="1"/>
        <rFont val="Times New Roman"/>
        <family val="1"/>
        <charset val="204"/>
      </rPr>
      <t xml:space="preserve">заетите щатни бройки в структурата/звеното бенефициент. Средният брой на заетите щатни бройки се  изчислява, като сборът от броя на назначените служители в края на всеки месец на шестмесечието се раздели на 6. 
</t>
    </r>
    <r>
      <rPr>
        <sz val="9"/>
        <color theme="1"/>
        <rFont val="Times New Roman"/>
        <family val="1"/>
        <charset val="204"/>
      </rPr>
      <t>Броят на служителите на Системата, чиито възнаграждения се възстановяват при еквивалент на пълна заетост се получава като се умножи средния брой на заетите щатни бройки през шестмесечието по средния процент на заетост на служителите на бенефициента във връзка с подготовка, управление, мониторинг, оценка, видимост и комуникация, контрол и одит на фондовете на РОР. Получената стойност се закръглява надолу до цяло число.</t>
    </r>
    <r>
      <rPr>
        <strike/>
        <sz val="9"/>
        <color theme="1"/>
        <rFont val="Times New Roman"/>
        <family val="1"/>
        <charset val="204"/>
      </rPr>
      <t xml:space="preserve">
</t>
    </r>
    <r>
      <rPr>
        <sz val="9"/>
        <color theme="1"/>
        <rFont val="Times New Roman"/>
        <family val="1"/>
        <charset val="204"/>
      </rPr>
      <t>Междинната цел за 2024 г. и целевата стойност за 2029 г. се отнасят само до броя на служителите, чиито възнаграждения се възстановяват при еквивалент на пълна заетост от техническа помощ през второто шестмесечие на съответната календарна година.
Въз основа на исторически данни от програмен период 2014-2020 г. се приема, че броят на служителите, чиито възнаграждения са съфинансирани от ПТП, няма да бъде увеличен, като се отчетат разликите в методологията на изчисление.</t>
    </r>
  </si>
  <si>
    <t xml:space="preserve">(О2-1) Хоризонтални модули за обучения </t>
  </si>
  <si>
    <t xml:space="preserve">Под "разработен модул за обучение" се разбира съдържание, разработено от бенефициент по ПТП, отговорен за съответната хоризонтална тема, което задължително съдържа: програма, теоретична част, практическа част, в т.ч. казуси, примери и др., тест за % на усвоените знания. 
Съдържанието следва да позволява обучението да се проведе както в присъствена, така и в дистанционна форма.
</t>
  </si>
  <si>
    <t>Всеки бенефициент текущо предоставя на УО информация и придружаващи доказателства за броя на новоразработените модули за обучение.
В допълнение следва да се представят и доказателства за минимум едно проведено обучение по съответния обучителен модул през календарната година, на което лекторите са били служители на бенефициент по ПТП.  
Всеки модул се отчита само веднъж - през календарното шестмесечие, в което е приложен за първи път чрез проведено обучение.
УО изчислява кумулативно показателя към 30 юни и 31 декември.
* Методологията на индикаторите следва хронологично процеса на подобряване на Системата - като се започне от идентифициране на проблемните области чрез извършване на анализи и оценки, след това предприемане на корективни мерки за оптимизиране на процедурите чрез законодателни промени и методологически указания и накрая чрез осигуряване на специализирани обучения за служителите на Системата. Непрекъснатото подобряване на качеството на обученията се постига чрез непрекъснати анализи за необходимостта от обучения и анализи на обратна връзка от участниците. Въз основа на тази логика индикатори O1-1, O1-2, O1-3, and O2-1 са с едни и същи теми.</t>
  </si>
  <si>
    <t>1. Събиране на информация за обучително съдържание посредством анализи, проучвания, обобщаване на данни, примери за добри практики и др.;
2. Структуриране на събраната информация в обучително съдържание;
3. Разработване на варианти за обучителен модул, проведен в присъствена и в дистанционна форма;
4. Подготовка на служители, които да проведат обучението;
5. Събиране и обработка на данни от получена обратна връзка от обучените лица;
6. Актуализация на обучителния модул в т.ч. съдържание, формат, лектори и др. на база извършени анализи и получени предложения и препоръки.
7. провеждане на проучване сред участниците 6 месеца след обучението дали използват придобитите знания и ако не, защо;</t>
  </si>
  <si>
    <r>
      <t xml:space="preserve">Брой служители на Системата, на ключови бенефициенти по програмите от СП, на организациите, на партньорски организации и обучени външни оценители, преминали през курс на обучение, по проект по ПТП.  
</t>
    </r>
    <r>
      <rPr>
        <i/>
        <sz val="9"/>
        <color theme="1"/>
        <rFont val="Times New Roman"/>
        <family val="1"/>
        <charset val="204"/>
      </rPr>
      <t xml:space="preserve">
</t>
    </r>
  </si>
  <si>
    <t xml:space="preserve">Всеки бенефициент текущо предоставя на УО информация за броя на обучените:
- служители на хоризонтални звена в Системата;
- служители на Управляващи органи; 
- членове на комитети за наблюдение на програмите от СП;
- представители на партньорски организации;
- служители на ключови бенефициенти на програмите от СП;
- служители на организации, изпълняващи финансови инструменти;
- външни оценители.
Отчита се броят на служителите, преминали през курс на обучение по проект по ПТП. 
Един обучен служител е възможно да е преминал повече от едно обучение. 
Ако един служител е преминал 2 обучения, стойността на индикатора е 2.
УО изчислява кумулативно показателя към 30 юни и 31 декември.
</t>
  </si>
  <si>
    <t xml:space="preserve">Изпълнението на индикатора ще стартира с приоритетна централизирана подкрепа за общините от най-слабо развитите райони в България. 
1. Провеждане на дискусионни форуми 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други, пряко свързани със смекчаване на последиците от изменението на климата и адаптиране към него в България, особено на регионално равнище;
2. Експертна подкрепа за общините (приоритетно за общините от най-слабо развитите райони на България)  – кандидати и бенефициенти по програми от СП, по хоризонтални области като държавни помощи, обществени поръчки и подготовка и изпълнение на проекти с акцент върху ИТИ и финансови инструменти.
</t>
  </si>
  <si>
    <t>(О4-1‭) Обществени консултации, медиации и презентации</t>
  </si>
  <si>
    <r>
      <t xml:space="preserve">Отчитат се традиционни и иновативни форми на обществени консултации, медиации и информационни събития, проведени: 
</t>
    </r>
    <r>
      <rPr>
        <b/>
        <sz val="9"/>
        <color theme="1"/>
        <rFont val="Times New Roman"/>
        <family val="1"/>
        <charset val="204"/>
      </rPr>
      <t xml:space="preserve">1. </t>
    </r>
    <r>
      <rPr>
        <sz val="9"/>
        <color theme="1"/>
        <rFont val="Times New Roman"/>
        <family val="1"/>
        <charset val="204"/>
      </rPr>
      <t xml:space="preserve"> </t>
    </r>
    <r>
      <rPr>
        <b/>
        <sz val="9"/>
        <color theme="1"/>
        <rFont val="Times New Roman"/>
        <family val="1"/>
        <charset val="204"/>
      </rPr>
      <t>от ОИЦ</t>
    </r>
    <r>
      <rPr>
        <sz val="9"/>
        <color theme="1"/>
        <rFont val="Times New Roman"/>
        <family val="1"/>
        <charset val="204"/>
      </rPr>
      <t xml:space="preserve"> за информиране на местните общностни за:
- координация и съдействие при сформирането на партньорство между заинтересованите страни на регионално ниво в процеса на подготовка на интегрираните проектни предложения или концепции за интегрирани проекти по интегрирания териториален подход (ИТИ);
- обща информация относно политиките на ЕС, Споразумението за партньорство, управление и изпълнение на програмите от СП; 
- Предоставяне на специфична информация за възможностите за финансиране по програмите на потенциални кандидати (сътрудничество с УО на програми от СП);
- подкрепа на потенциалните кандидати по програмите за трансгранично сътрудничество чрез разяснителни кампании и информационни дейности;
- Разпространение и популяризиране на добри практики във връзка с изпълнението на програмите от СП;
</t>
    </r>
    <r>
      <rPr>
        <b/>
        <sz val="9"/>
        <color theme="1"/>
        <rFont val="Times New Roman"/>
        <family val="1"/>
        <charset val="204"/>
      </rPr>
      <t>2.</t>
    </r>
    <r>
      <rPr>
        <sz val="9"/>
        <color theme="1"/>
        <rFont val="Times New Roman"/>
        <family val="1"/>
        <charset val="204"/>
      </rPr>
      <t xml:space="preserve"> З</t>
    </r>
    <r>
      <rPr>
        <b/>
        <sz val="9"/>
        <color theme="1"/>
        <rFont val="Times New Roman"/>
        <family val="1"/>
        <charset val="204"/>
      </rPr>
      <t xml:space="preserve">а общини </t>
    </r>
    <r>
      <rPr>
        <sz val="9"/>
        <color theme="1"/>
        <rFont val="Times New Roman"/>
        <family val="1"/>
        <charset val="204"/>
      </rPr>
      <t xml:space="preserve">за повишаване на междуобщинско сътрудничество, капацитетът за стратегическо планиране и активно участие в инициативи на ЕС като Хоризонт, Баухаус, развитие на градската среда и др.
</t>
    </r>
    <r>
      <rPr>
        <b/>
        <sz val="9"/>
        <color theme="1"/>
        <rFont val="Times New Roman"/>
        <family val="1"/>
        <charset val="204"/>
      </rPr>
      <t xml:space="preserve">3. </t>
    </r>
    <r>
      <rPr>
        <sz val="9"/>
        <color theme="1"/>
        <rFont val="Times New Roman"/>
        <family val="1"/>
        <charset val="204"/>
      </rPr>
      <t>За популяризиране на резултати и препоръки от извършени хоризонтални и междусекторни оценки сред структурите на Системата, както и сред всички заинтересовани страни.</t>
    </r>
  </si>
  <si>
    <r>
      <t xml:space="preserve">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t>
    </r>
    <r>
      <rPr>
        <sz val="9"/>
        <rFont val="Times New Roman"/>
        <family val="1"/>
        <charset val="204"/>
      </rPr>
      <t>По-висока степен прозрачност и отчетност при изпълнението на СП.</t>
    </r>
  </si>
  <si>
    <t xml:space="preserve">(О2-3) Дял на обучените лица/служители, преминали успешно тест за усвоени знания </t>
  </si>
  <si>
    <t>(О2-2) Брой обучени лица/служители</t>
  </si>
  <si>
    <t>Брой обучени лица/служители</t>
  </si>
  <si>
    <t xml:space="preserve">Дял на обучените лица/служители, преминали успешно тест за усвоени знания </t>
  </si>
  <si>
    <t>(О1-10) Служители на Системата, чиито възнаграждения се възстановяват по Програмата (средно претеглена стойност)</t>
  </si>
  <si>
    <r>
      <t xml:space="preserve">1. Провеждане на публични информационни събития в присъствена или дистанционна форма (информационни дни, пресконференции, публични дискусии, кампании на ниво NUTS II и III за широката общественост, информационни кампании, проведени от Областните информационни центрове и др.) с цел популяризиране на възможностите за подкрепа и резултатите от програмите от СП.
2. </t>
    </r>
    <r>
      <rPr>
        <strike/>
        <sz val="9"/>
        <color theme="1"/>
        <rFont val="Times New Roman"/>
        <family val="1"/>
        <charset val="204"/>
      </rPr>
      <t>Провеждане на специализирани събития за общини с цел повишаване на междуобщинско сътрудничество, капацитетът за стратегическо планиране и активно участие в инициативи на ЕС;</t>
    </r>
    <r>
      <rPr>
        <sz val="9"/>
        <color theme="1"/>
        <rFont val="Times New Roman"/>
        <family val="1"/>
        <charset val="204"/>
      </rPr>
      <t xml:space="preserve">
3. Организиране на събития за популяризиране на резултати и препоръки от оценки;
4. Осигуряване на прозрачност за предприетите действия във връзка със сигнали/нередности и измами със средства от фондовете на ЕС. </t>
    </r>
  </si>
  <si>
    <t>2. Укрепване на капацитета на органите, бенефициентите и партньорите по програмите от СП</t>
  </si>
  <si>
    <t>3. Ангажиране на СИП и ОГО за добро управление на средствата от фондовете на ЕС</t>
  </si>
  <si>
    <t>4. Повишаване на прозрачността и комуникиране на постигнатите резултати</t>
  </si>
  <si>
    <t>(О3-1) ОГО и СИП, ангажирани с мониторинг и оценка на СП</t>
  </si>
  <si>
    <t xml:space="preserve">НРПД </t>
  </si>
  <si>
    <t>Проверки и одити, извършвани от одитиращи и/или контролни органи</t>
  </si>
  <si>
    <t>Нови функционалности на ИСУН</t>
  </si>
  <si>
    <t>Намалена административна тежест за кандидатите</t>
  </si>
  <si>
    <t>ОГО с повишен капацитет</t>
  </si>
  <si>
    <t>Уникални посещения на eufunds.bg годишно</t>
  </si>
  <si>
    <t>Импресии в социалните мрежи и платформи</t>
  </si>
  <si>
    <t>Идентификационен номер</t>
  </si>
  <si>
    <t>Общо</t>
  </si>
  <si>
    <t>Номер на цел на политиката или техническа помощ</t>
  </si>
  <si>
    <t>Основа за изчисляване на подкрепата от Съюза
(общо допустими разходи или публичен принос)</t>
  </si>
  <si>
    <t>Категория регион</t>
  </si>
  <si>
    <t>Финансово участие на Съюза 
а) = ж) + з)</t>
  </si>
  <si>
    <t>Разбивка на финансовото участие на Съюза</t>
  </si>
  <si>
    <t>Индикативна разбивка на националния принос</t>
  </si>
  <si>
    <t>Финансово участие на Съюза без сумата за гъвкавост</t>
  </si>
  <si>
    <t>Сума за гъвкавост</t>
  </si>
  <si>
    <t>Публичен‭</t>
  </si>
  <si>
    <t>Частен‭</t>
  </si>
  <si>
    <t xml:space="preserve"> ж)</t>
  </si>
  <si>
    <t xml:space="preserve"> з)</t>
  </si>
  <si>
    <t>(д)=(‬a‭)‬+‭(‬б)</t>
  </si>
  <si>
    <t>(е‭)=(‬a‭)‬/‭(д)</t>
  </si>
  <si>
    <t>TA36(4)</t>
  </si>
  <si>
    <t>Публичен принос</t>
  </si>
  <si>
    <t>ПРИЛОЖЕНИЕ II: Общо бюджетни кредити по фондове и национално съфинансиране (в евро)</t>
  </si>
  <si>
    <t>Финансов бюджетен кредит без сума за гъвкавост‭ ‬</t>
  </si>
  <si>
    <t>Таблица 10: Финансови бюджетни кредити по години</t>
  </si>
  <si>
    <t>ЕФРР</t>
  </si>
  <si>
    <t>ОБЩО</t>
  </si>
  <si>
    <t>% от ПТП</t>
  </si>
  <si>
    <t>Сума за гъвкавост (общо):</t>
  </si>
  <si>
    <t>Фонд</t>
  </si>
  <si>
    <t>Категория региони</t>
  </si>
  <si>
    <t xml:space="preserve">Преход </t>
  </si>
  <si>
    <t>в Евро, ЕС част</t>
  </si>
  <si>
    <t xml:space="preserve">Ниво на информираност за програмите от СП
</t>
  </si>
  <si>
    <t>Хоризонтални модули за обучения</t>
  </si>
  <si>
    <t xml:space="preserve">(О4-5)  </t>
  </si>
  <si>
    <t>Сесии на eufunds.bg</t>
  </si>
  <si>
    <t xml:space="preserve">(О4-6)  </t>
  </si>
  <si>
    <t>Гледания (views) и в социалните мрежи и платформи</t>
  </si>
  <si>
    <t xml:space="preserve">1. Създаване, разработване, популяризиране и поддържане на профили в социалните мрежи, за да се гарантира наличността на информацията относно европейските фондове.
</t>
  </si>
  <si>
    <t>Повишена степен на познаване от гражданите на целите и резултатите на СП;
Повишено обществено доверие в Системата и към начина на изпълнение на проекти по програмите от СП;
По-висока степен прозрачност и отчетност при изпълнението на СП.</t>
  </si>
  <si>
    <t>Брой гледания, отчетени от статистиката в съответните профили на управлявани от бенефициентите на ПТП (ЦКЗ, ОИЦ, УО на ПТП и др.) социални платформи. 
„Views“ (гледания) показва колко пъти потребителите са гледали активно или са се ангажирали със съдържанието – включително брой гледания на reels, видео, или брой преглеждания на изображения или текстови постове, които са били на екран за определен период от време</t>
  </si>
  <si>
    <t>Бенефициентът, поддържащ информационния портал, предоставя на УО на шестмесечна база, към 30 юни и 31 декември, информация за броя сесии на eufunds.bg 
Целевата стойност се отнася за броя сесии на eufunds.bg за периода 2024- 2029 г., който ще се отчете към 31 декември 2029.
УО изчислява кумулативно показателя към 30 юни и 31 декември.</t>
  </si>
  <si>
    <t xml:space="preserve">(О4-5) Сесии на eufunds.bg (НОВ)
</t>
  </si>
  <si>
    <t xml:space="preserve">(О4-6) Гледания (views) социалните мрежи и платформи (НОВ)
</t>
  </si>
  <si>
    <t xml:space="preserve">По-слабо развити </t>
  </si>
  <si>
    <r>
      <t xml:space="preserve">Сесии на </t>
    </r>
    <r>
      <rPr>
        <b/>
        <sz val="9"/>
        <rFont val="Times New Roman"/>
        <family val="1"/>
        <charset val="204"/>
      </rPr>
      <t>eufunds.bg</t>
    </r>
    <r>
      <rPr>
        <sz val="9"/>
        <rFont val="Times New Roman"/>
        <family val="1"/>
        <charset val="204"/>
      </rPr>
      <t xml:space="preserve"> представлява група от взаимодействия на потребителя със сайта или приложението в рамките на определен времеви период, съгласно методиката за измерване на метриката в GA4. Тя започва, когато се задейства събитието session_start, не се прекъсва, ако източникът на трафик се промени и завършва след 30 минути неактивност по подразбиране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</si>
</sst>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л_в_._-;\-* #,##0.00\ _л_в_._-;_-* &quot;-&quot;??\ _л_в_._-;_-@_-"/>
    <numFmt numFmtId="165" formatCode="_(* #,##0.00_);_(* \(#,##0.00\);_(* &quot;-&quot;??_);_(@_)"/>
    <numFmt numFmtId="166" formatCode="_([$€-2]\ * #,##0.00_);_([$€-2]\ * \(#,##0.00\);_([$€-2]\ * &quot;-&quot;??_);_(@_)"/>
    <numFmt numFmtId="167" formatCode="0.000%"/>
    <numFmt numFmtId="168" formatCode="_-* #,##0\ _л_в_._-;\-* #,##0\ _л_в_._-;_-* &quot;-&quot;??\ _л_в_._-;_-@_-"/>
    <numFmt numFmtId="169" formatCode="#,##0.0"/>
    <numFmt numFmtId="170" formatCode="0.000000%"/>
    <numFmt numFmtId="171" formatCode="#,##0.00000"/>
    <numFmt numFmtId="172" formatCode="#,##0.000000"/>
    <numFmt numFmtId="173" formatCode="0.00000000%"/>
    <numFmt numFmtId="174" formatCode="0.0000000000%"/>
    <numFmt numFmtId="175" formatCode="0.0%"/>
    <numFmt numFmtId="176" formatCode="0.0"/>
    <numFmt numFmtId="177" formatCode="#,##0.00000000"/>
  </numFmts>
  <fonts count="65" x14ac:knownFonts="1">
    <font>
      <sz val="11"/>
      <color theme="1"/>
      <name val="Calibri"/>
      <family val="2"/>
      <charset val="204"/>
      <scheme val="minor"/>
    </font>
    <font>
      <sz val="9"/>
      <color theme="1"/>
      <name val="Times New Roman"/>
      <family val="1"/>
      <charset val="204"/>
    </font>
    <font>
      <sz val="11"/>
      <color theme="1"/>
      <name val="Times New Roman"/>
      <family val="1"/>
      <charset val="204"/>
    </font>
    <font>
      <b/>
      <sz val="9"/>
      <color theme="1"/>
      <name val="Times New Roman"/>
      <family val="1"/>
      <charset val="204"/>
    </font>
    <font>
      <b/>
      <sz val="9"/>
      <color rgb="FF000000"/>
      <name val="Times New Roman"/>
      <family val="1"/>
      <charset val="204"/>
    </font>
    <font>
      <sz val="11"/>
      <color theme="1"/>
      <name val="Calibri"/>
      <family val="2"/>
      <charset val="204"/>
      <scheme val="minor"/>
    </font>
    <font>
      <b/>
      <sz val="11"/>
      <color theme="1"/>
      <name val="Calibri"/>
      <family val="2"/>
      <charset val="204"/>
      <scheme val="minor"/>
    </font>
    <font>
      <b/>
      <sz val="12"/>
      <color theme="1"/>
      <name val="Candara"/>
      <family val="2"/>
      <charset val="204"/>
    </font>
    <font>
      <sz val="12"/>
      <color theme="1"/>
      <name val="Candara"/>
      <family val="2"/>
      <charset val="204"/>
    </font>
    <font>
      <sz val="11"/>
      <color theme="1"/>
      <name val="Calibri"/>
      <family val="2"/>
      <scheme val="minor"/>
    </font>
    <font>
      <b/>
      <sz val="10"/>
      <color rgb="FF000000"/>
      <name val="Tahoma"/>
      <family val="2"/>
      <charset val="204"/>
    </font>
    <font>
      <sz val="10"/>
      <color theme="1"/>
      <name val="Candara"/>
      <family val="2"/>
      <charset val="204"/>
    </font>
    <font>
      <sz val="11"/>
      <color rgb="FF002060"/>
      <name val="Times New Roman"/>
      <family val="1"/>
      <charset val="204"/>
    </font>
    <font>
      <sz val="11"/>
      <color rgb="FF002060"/>
      <name val="Calibri"/>
      <family val="2"/>
      <charset val="204"/>
      <scheme val="minor"/>
    </font>
    <font>
      <b/>
      <sz val="11"/>
      <color theme="9"/>
      <name val="Times New Roman"/>
      <family val="1"/>
      <charset val="204"/>
    </font>
    <font>
      <b/>
      <sz val="11"/>
      <color theme="9"/>
      <name val="Calibri"/>
      <family val="2"/>
      <charset val="204"/>
      <scheme val="minor"/>
    </font>
    <font>
      <b/>
      <sz val="13"/>
      <color rgb="FF000000"/>
      <name val="Times New Roman"/>
      <family val="1"/>
      <charset val="204"/>
    </font>
    <font>
      <b/>
      <sz val="12"/>
      <color rgb="FF000000"/>
      <name val="Times New Roman"/>
      <family val="1"/>
      <charset val="204"/>
    </font>
    <font>
      <sz val="9"/>
      <name val="Times New Roman"/>
      <family val="1"/>
      <charset val="204"/>
    </font>
    <font>
      <sz val="11"/>
      <name val="Times New Roman"/>
      <family val="1"/>
      <charset val="204"/>
    </font>
    <font>
      <b/>
      <sz val="11"/>
      <color theme="1"/>
      <name val="Times New Roman"/>
      <family val="1"/>
      <charset val="204"/>
    </font>
    <font>
      <sz val="9"/>
      <color theme="1"/>
      <name val="Calibri"/>
      <family val="2"/>
      <scheme val="minor"/>
    </font>
    <font>
      <sz val="11"/>
      <name val="Calibri"/>
      <family val="2"/>
      <scheme val="minor"/>
    </font>
    <font>
      <i/>
      <sz val="9"/>
      <color theme="1"/>
      <name val="Times New Roman"/>
      <family val="1"/>
      <charset val="204"/>
    </font>
    <font>
      <sz val="9"/>
      <color rgb="FFFF0000"/>
      <name val="Times New Roman"/>
      <family val="1"/>
      <charset val="204"/>
    </font>
    <font>
      <i/>
      <sz val="9"/>
      <name val="Times New Roman"/>
      <family val="1"/>
      <charset val="204"/>
    </font>
    <font>
      <b/>
      <sz val="10"/>
      <color rgb="FFFF0000"/>
      <name val="Times New Roman"/>
      <family val="1"/>
      <charset val="204"/>
    </font>
    <font>
      <sz val="12"/>
      <color theme="1"/>
      <name val="Times New Roman"/>
      <family val="1"/>
      <charset val="204"/>
    </font>
    <font>
      <b/>
      <sz val="11"/>
      <color rgb="FF000000"/>
      <name val="Times New Roman"/>
      <family val="1"/>
      <charset val="204"/>
    </font>
    <font>
      <sz val="11"/>
      <color rgb="FF000000"/>
      <name val="Times New Roman"/>
      <family val="1"/>
      <charset val="204"/>
    </font>
    <font>
      <b/>
      <sz val="11"/>
      <color theme="9" tint="-0.249977111117893"/>
      <name val="Times New Roman"/>
      <family val="1"/>
      <charset val="204"/>
    </font>
    <font>
      <sz val="11"/>
      <color theme="9" tint="-0.249977111117893"/>
      <name val="Times New Roman"/>
      <family val="1"/>
      <charset val="204"/>
    </font>
    <font>
      <b/>
      <sz val="8"/>
      <color theme="1"/>
      <name val="Times New Roman"/>
      <family val="1"/>
      <charset val="204"/>
    </font>
    <font>
      <sz val="11.5"/>
      <color theme="1"/>
      <name val="Times New Roman"/>
      <family val="1"/>
      <charset val="204"/>
    </font>
    <font>
      <sz val="10"/>
      <color rgb="FF000000"/>
      <name val="Times New Roman"/>
      <family val="1"/>
      <charset val="204"/>
    </font>
    <font>
      <b/>
      <sz val="10"/>
      <color rgb="FF000000"/>
      <name val="Times New Roman"/>
      <family val="1"/>
      <charset val="204"/>
    </font>
    <font>
      <i/>
      <sz val="8"/>
      <color rgb="FF000000"/>
      <name val="Times New Roman"/>
      <family val="1"/>
      <charset val="204"/>
    </font>
    <font>
      <i/>
      <sz val="11"/>
      <color rgb="FF000000"/>
      <name val="Times New Roman"/>
      <family val="1"/>
      <charset val="204"/>
    </font>
    <font>
      <b/>
      <sz val="8"/>
      <name val="Times New Roman"/>
      <family val="1"/>
      <charset val="204"/>
    </font>
    <font>
      <b/>
      <sz val="11"/>
      <name val="Times New Roman"/>
      <family val="1"/>
      <charset val="204"/>
    </font>
    <font>
      <b/>
      <sz val="12"/>
      <name val="Times New Roman"/>
      <family val="1"/>
      <charset val="204"/>
    </font>
    <font>
      <sz val="11"/>
      <color theme="0"/>
      <name val="Calibri"/>
      <family val="2"/>
      <charset val="204"/>
      <scheme val="minor"/>
    </font>
    <font>
      <sz val="11"/>
      <color theme="0"/>
      <name val="Times New Roman"/>
      <family val="1"/>
      <charset val="204"/>
    </font>
    <font>
      <b/>
      <sz val="11"/>
      <color theme="0"/>
      <name val="Times New Roman"/>
      <family val="1"/>
      <charset val="204"/>
    </font>
    <font>
      <b/>
      <sz val="8"/>
      <color theme="0"/>
      <name val="Times New Roman"/>
      <family val="1"/>
      <charset val="204"/>
    </font>
    <font>
      <b/>
      <sz val="9"/>
      <color theme="0"/>
      <name val="Times New Roman"/>
      <family val="1"/>
      <charset val="204"/>
    </font>
    <font>
      <sz val="9"/>
      <color theme="0"/>
      <name val="Times New Roman"/>
      <family val="1"/>
      <charset val="204"/>
    </font>
    <font>
      <sz val="12"/>
      <color rgb="FF7030A0"/>
      <name val="Times New Roman"/>
      <family val="1"/>
      <charset val="204"/>
    </font>
    <font>
      <b/>
      <sz val="12"/>
      <color rgb="FF7030A0"/>
      <name val="Times New Roman"/>
      <family val="1"/>
      <charset val="204"/>
    </font>
    <font>
      <b/>
      <sz val="9"/>
      <name val="Times New Roman"/>
      <family val="1"/>
      <charset val="204"/>
    </font>
    <font>
      <b/>
      <sz val="9"/>
      <name val="Times New Roman"/>
      <family val="1"/>
      <charset val="204"/>
    </font>
    <font>
      <b/>
      <i/>
      <sz val="8"/>
      <name val="Times New Roman"/>
      <family val="1"/>
      <charset val="204"/>
    </font>
    <font>
      <strike/>
      <sz val="9"/>
      <color rgb="FFFF0000"/>
      <name val="Times New Roman"/>
      <family val="1"/>
      <charset val="204"/>
    </font>
    <font>
      <b/>
      <sz val="14"/>
      <color rgb="FF002060"/>
      <name val="Times New Roman"/>
      <family val="1"/>
      <charset val="204"/>
    </font>
    <font>
      <sz val="11"/>
      <color rgb="FFFF0000"/>
      <name val="Calibri"/>
      <family val="2"/>
      <charset val="204"/>
      <scheme val="minor"/>
    </font>
    <font>
      <sz val="11"/>
      <color rgb="FFFF0000"/>
      <name val="Times New Roman"/>
      <family val="1"/>
      <charset val="204"/>
    </font>
    <font>
      <sz val="11"/>
      <color rgb="FFFF0000"/>
      <name val="Calibri"/>
      <family val="2"/>
      <scheme val="minor"/>
    </font>
    <font>
      <strike/>
      <sz val="9"/>
      <color theme="1"/>
      <name val="Times New Roman"/>
      <family val="1"/>
      <charset val="204"/>
    </font>
    <font>
      <b/>
      <sz val="8"/>
      <color rgb="FF000000"/>
      <name val="Times New Roman"/>
      <family val="1"/>
      <charset val="204"/>
    </font>
    <font>
      <sz val="8"/>
      <color rgb="FF000000"/>
      <name val="Times New Roman"/>
      <family val="1"/>
      <charset val="204"/>
    </font>
    <font>
      <sz val="8"/>
      <color theme="1"/>
      <name val="Times New Roman"/>
      <family val="1"/>
      <charset val="204"/>
    </font>
    <font>
      <i/>
      <strike/>
      <sz val="9"/>
      <color rgb="FFFF0000"/>
      <name val="Times New Roman"/>
      <family val="1"/>
      <charset val="204"/>
    </font>
    <font>
      <sz val="11.5"/>
      <color rgb="FFFF0000"/>
      <name val="Times New Roman"/>
      <family val="1"/>
      <charset val="204"/>
    </font>
    <font>
      <b/>
      <sz val="9"/>
      <color rgb="FFFF0000"/>
      <name val="Times New Roman"/>
      <family val="1"/>
      <charset val="204"/>
    </font>
    <font>
      <b/>
      <sz val="11"/>
      <color rgb="FFFF0000"/>
      <name val="Times New Roman"/>
      <family val="1"/>
      <charset val="204"/>
    </font>
  </fonts>
  <fills count="2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0F0F0"/>
        <bgColor indexed="64"/>
      </patternFill>
    </fill>
    <fill>
      <patternFill patternType="solid">
        <fgColor rgb="FFEEF9FE"/>
      </patternFill>
    </fill>
    <fill>
      <patternFill patternType="solid">
        <fgColor rgb="FFFBFBFB"/>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rgb="FFCCECFF"/>
        <bgColor indexed="64"/>
      </patternFill>
    </fill>
    <fill>
      <patternFill patternType="solid">
        <fgColor theme="9" tint="0.39997558519241921"/>
        <bgColor indexed="64"/>
      </patternFill>
    </fill>
    <fill>
      <patternFill patternType="solid">
        <fgColor theme="5"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Dashed">
        <color auto="1"/>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BBBBBB"/>
      </left>
      <right style="medium">
        <color rgb="FFBBBBBB"/>
      </right>
      <top style="medium">
        <color rgb="FFBBBBBB"/>
      </top>
      <bottom style="medium">
        <color rgb="FFBBBBBB"/>
      </bottom>
      <diagonal/>
    </border>
    <border>
      <left style="thin">
        <color indexed="9"/>
      </left>
      <right style="thin">
        <color indexed="9"/>
      </right>
      <top style="thin">
        <color indexed="9"/>
      </top>
      <bottom style="thin">
        <color indexed="9"/>
      </bottom>
      <diagonal/>
    </border>
    <border>
      <left/>
      <right style="medium">
        <color rgb="FF000000"/>
      </right>
      <top style="medium">
        <color indexed="64"/>
      </top>
      <bottom style="medium">
        <color indexed="64"/>
      </bottom>
      <diagonal/>
    </border>
    <border>
      <left/>
      <right style="medium">
        <color rgb="FF000000"/>
      </right>
      <top/>
      <bottom/>
      <diagonal/>
    </border>
    <border>
      <left style="medium">
        <color indexed="64"/>
      </left>
      <right/>
      <top/>
      <bottom style="medium">
        <color rgb="FF000000"/>
      </bottom>
      <diagonal/>
    </border>
    <border>
      <left/>
      <right style="medium">
        <color rgb="FF000000"/>
      </right>
      <top/>
      <bottom style="medium">
        <color rgb="FF000000"/>
      </bottom>
      <diagonal/>
    </border>
    <border>
      <left/>
      <right style="medium">
        <color rgb="FF000000"/>
      </right>
      <top style="medium">
        <color indexed="64"/>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indexed="64"/>
      </top>
      <bottom style="thin">
        <color indexed="64"/>
      </bottom>
      <diagonal/>
    </border>
  </borders>
  <cellStyleXfs count="12">
    <xf numFmtId="0" fontId="0" fillId="0" borderId="0"/>
    <xf numFmtId="164" fontId="5" fillId="0" borderId="0" applyFont="0" applyFill="0" applyBorder="0" applyAlignment="0" applyProtection="0"/>
    <xf numFmtId="0" fontId="5" fillId="0" borderId="0"/>
    <xf numFmtId="9" fontId="9"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0" fontId="9" fillId="0" borderId="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0" fontId="5" fillId="0" borderId="0"/>
  </cellStyleXfs>
  <cellXfs count="503">
    <xf numFmtId="0" fontId="0" fillId="0" borderId="0" xfId="0"/>
    <xf numFmtId="0" fontId="3" fillId="2" borderId="1" xfId="0" applyFont="1" applyFill="1" applyBorder="1" applyAlignment="1">
      <alignment horizontal="center" vertical="top" wrapText="1"/>
    </xf>
    <xf numFmtId="0" fontId="1"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vertical="top" wrapText="1"/>
    </xf>
    <xf numFmtId="0" fontId="2" fillId="0" borderId="0" xfId="0" applyFont="1" applyAlignment="1">
      <alignment vertical="top"/>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vertical="top" wrapText="1"/>
    </xf>
    <xf numFmtId="0" fontId="3" fillId="2" borderId="2" xfId="0" applyFont="1" applyFill="1" applyBorder="1" applyAlignment="1">
      <alignment horizontal="center" vertical="top" wrapText="1"/>
    </xf>
    <xf numFmtId="0" fontId="1" fillId="0" borderId="5"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horizontal="left" vertical="top" wrapText="1"/>
    </xf>
    <xf numFmtId="0" fontId="1" fillId="0" borderId="8" xfId="0" applyFont="1" applyBorder="1" applyAlignment="1">
      <alignment vertical="top" wrapText="1"/>
    </xf>
    <xf numFmtId="0" fontId="1"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3" fillId="0" borderId="4" xfId="0" applyFont="1" applyBorder="1" applyAlignment="1">
      <alignment horizontal="left" vertical="top" wrapText="1"/>
    </xf>
    <xf numFmtId="0" fontId="1" fillId="0" borderId="9"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3" fontId="3" fillId="2" borderId="2"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3" fontId="3" fillId="0" borderId="3" xfId="0" applyNumberFormat="1" applyFont="1" applyBorder="1" applyAlignment="1">
      <alignment vertical="top" wrapText="1"/>
    </xf>
    <xf numFmtId="0" fontId="3" fillId="0" borderId="3" xfId="0" applyFont="1" applyBorder="1" applyAlignment="1">
      <alignment horizontal="left" vertical="top" wrapText="1"/>
    </xf>
    <xf numFmtId="3" fontId="3" fillId="0" borderId="2" xfId="0" applyNumberFormat="1" applyFont="1" applyBorder="1" applyAlignment="1">
      <alignment horizontal="right" vertical="top" wrapText="1"/>
    </xf>
    <xf numFmtId="3" fontId="3" fillId="0" borderId="4" xfId="0" applyNumberFormat="1" applyFont="1" applyBorder="1" applyAlignment="1">
      <alignment horizontal="right" vertical="top" wrapText="1"/>
    </xf>
    <xf numFmtId="3" fontId="3" fillId="0" borderId="1" xfId="0" applyNumberFormat="1" applyFont="1" applyBorder="1" applyAlignment="1">
      <alignment horizontal="right" vertical="top" wrapText="1"/>
    </xf>
    <xf numFmtId="3" fontId="3" fillId="0" borderId="9" xfId="0" applyNumberFormat="1" applyFont="1" applyBorder="1" applyAlignment="1">
      <alignment horizontal="right" vertical="top" wrapText="1"/>
    </xf>
    <xf numFmtId="3" fontId="3" fillId="0" borderId="6" xfId="0" applyNumberFormat="1" applyFont="1" applyBorder="1" applyAlignment="1">
      <alignment horizontal="right" vertical="top" wrapText="1"/>
    </xf>
    <xf numFmtId="3" fontId="3" fillId="0" borderId="12" xfId="0" applyNumberFormat="1" applyFont="1" applyBorder="1" applyAlignment="1">
      <alignment horizontal="right" vertical="top" wrapText="1"/>
    </xf>
    <xf numFmtId="3" fontId="3" fillId="0" borderId="0" xfId="0" applyNumberFormat="1" applyFont="1" applyAlignment="1">
      <alignment horizontal="right" vertical="top" wrapText="1"/>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right" vertical="top" wrapText="1"/>
    </xf>
    <xf numFmtId="3" fontId="1" fillId="0" borderId="4" xfId="0" applyNumberFormat="1" applyFont="1" applyBorder="1" applyAlignment="1">
      <alignment horizontal="left" vertical="top" wrapText="1"/>
    </xf>
    <xf numFmtId="0" fontId="8" fillId="0" borderId="0" xfId="2" applyFont="1"/>
    <xf numFmtId="0" fontId="7" fillId="5" borderId="1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0" borderId="0" xfId="2" applyFont="1" applyAlignment="1">
      <alignment wrapText="1"/>
    </xf>
    <xf numFmtId="0" fontId="7" fillId="6" borderId="3" xfId="2" applyFont="1" applyFill="1" applyBorder="1" applyAlignment="1">
      <alignment horizontal="center" wrapText="1"/>
    </xf>
    <xf numFmtId="0" fontId="7" fillId="6" borderId="6" xfId="2" applyFont="1" applyFill="1" applyBorder="1" applyAlignment="1">
      <alignment horizontal="center" vertical="center" wrapText="1"/>
    </xf>
    <xf numFmtId="3" fontId="7" fillId="7" borderId="1" xfId="2" applyNumberFormat="1" applyFont="1" applyFill="1" applyBorder="1" applyAlignment="1">
      <alignment horizontal="center"/>
    </xf>
    <xf numFmtId="3" fontId="7" fillId="7" borderId="1" xfId="2" applyNumberFormat="1" applyFont="1" applyFill="1" applyBorder="1"/>
    <xf numFmtId="0" fontId="8" fillId="4" borderId="11" xfId="2" applyFont="1" applyFill="1" applyBorder="1" applyAlignment="1">
      <alignment vertical="center"/>
    </xf>
    <xf numFmtId="3" fontId="8" fillId="4" borderId="1" xfId="2" applyNumberFormat="1" applyFont="1" applyFill="1" applyBorder="1" applyAlignment="1">
      <alignment horizontal="right" vertical="center" wrapText="1"/>
    </xf>
    <xf numFmtId="0" fontId="8" fillId="4" borderId="1" xfId="2" applyFont="1" applyFill="1" applyBorder="1" applyAlignment="1">
      <alignment horizontal="left" vertical="center" wrapText="1"/>
    </xf>
    <xf numFmtId="9" fontId="8" fillId="0" borderId="0" xfId="3" applyFont="1"/>
    <xf numFmtId="0" fontId="7" fillId="8" borderId="0" xfId="2" applyFont="1" applyFill="1" applyBorder="1" applyAlignment="1">
      <alignment vertical="center" wrapText="1"/>
    </xf>
    <xf numFmtId="0" fontId="8" fillId="0" borderId="0" xfId="2" applyFont="1" applyBorder="1"/>
    <xf numFmtId="0" fontId="8" fillId="4" borderId="11" xfId="2" applyFont="1" applyFill="1" applyBorder="1" applyAlignment="1">
      <alignment vertical="center" wrapText="1"/>
    </xf>
    <xf numFmtId="0" fontId="8" fillId="4" borderId="1" xfId="2" applyFont="1" applyFill="1" applyBorder="1"/>
    <xf numFmtId="0" fontId="8" fillId="4" borderId="0" xfId="2" applyFont="1" applyFill="1"/>
    <xf numFmtId="3" fontId="8" fillId="4" borderId="2" xfId="2" applyNumberFormat="1" applyFont="1" applyFill="1" applyBorder="1" applyAlignment="1">
      <alignment horizontal="right" vertical="center"/>
    </xf>
    <xf numFmtId="0" fontId="8" fillId="4" borderId="2" xfId="2" applyFont="1" applyFill="1" applyBorder="1" applyAlignment="1">
      <alignment horizontal="left" vertical="center" wrapText="1"/>
    </xf>
    <xf numFmtId="0" fontId="7" fillId="7" borderId="1" xfId="2" applyFont="1" applyFill="1" applyBorder="1"/>
    <xf numFmtId="3" fontId="7" fillId="7" borderId="1" xfId="2" applyNumberFormat="1" applyFont="1" applyFill="1" applyBorder="1" applyAlignment="1">
      <alignment horizontal="right" vertical="center"/>
    </xf>
    <xf numFmtId="166" fontId="8" fillId="7" borderId="1" xfId="4" applyNumberFormat="1" applyFont="1" applyFill="1" applyBorder="1" applyAlignment="1">
      <alignment horizontal="left"/>
    </xf>
    <xf numFmtId="0" fontId="7" fillId="6" borderId="1" xfId="2" applyFont="1" applyFill="1" applyBorder="1" applyAlignment="1">
      <alignment horizontal="center" wrapText="1"/>
    </xf>
    <xf numFmtId="0" fontId="7" fillId="6" borderId="1" xfId="2" applyFont="1" applyFill="1" applyBorder="1" applyAlignment="1">
      <alignment horizontal="center" vertical="center" wrapText="1"/>
    </xf>
    <xf numFmtId="0" fontId="8" fillId="4" borderId="4" xfId="2" applyFont="1" applyFill="1" applyBorder="1" applyAlignment="1">
      <alignment wrapText="1"/>
    </xf>
    <xf numFmtId="3" fontId="8" fillId="4" borderId="4" xfId="2" applyNumberFormat="1" applyFont="1" applyFill="1" applyBorder="1" applyAlignment="1">
      <alignment horizontal="right"/>
    </xf>
    <xf numFmtId="9" fontId="7" fillId="7" borderId="1" xfId="3" applyFont="1" applyFill="1" applyBorder="1" applyAlignment="1">
      <alignment horizontal="center"/>
    </xf>
    <xf numFmtId="0" fontId="8" fillId="4" borderId="1" xfId="2" applyFont="1" applyFill="1" applyBorder="1" applyAlignment="1">
      <alignment wrapText="1"/>
    </xf>
    <xf numFmtId="3" fontId="8" fillId="4" borderId="1" xfId="2" applyNumberFormat="1" applyFont="1" applyFill="1" applyBorder="1" applyAlignment="1">
      <alignment horizontal="right"/>
    </xf>
    <xf numFmtId="166" fontId="8" fillId="7" borderId="1" xfId="4" applyNumberFormat="1" applyFont="1" applyFill="1" applyBorder="1" applyAlignment="1">
      <alignment horizontal="right"/>
    </xf>
    <xf numFmtId="9" fontId="8" fillId="0" borderId="0" xfId="3" applyNumberFormat="1" applyFont="1"/>
    <xf numFmtId="0" fontId="7" fillId="9" borderId="1" xfId="2" applyFont="1" applyFill="1" applyBorder="1"/>
    <xf numFmtId="3" fontId="7" fillId="9" borderId="1" xfId="2" applyNumberFormat="1" applyFont="1" applyFill="1" applyBorder="1" applyAlignment="1">
      <alignment horizontal="right"/>
    </xf>
    <xf numFmtId="167" fontId="7" fillId="7" borderId="1" xfId="3" applyNumberFormat="1" applyFont="1" applyFill="1" applyBorder="1" applyAlignment="1">
      <alignment horizontal="center"/>
    </xf>
    <xf numFmtId="165" fontId="8" fillId="0" borderId="0" xfId="5" applyFont="1"/>
    <xf numFmtId="3" fontId="3" fillId="0" borderId="1" xfId="0" applyNumberFormat="1" applyFont="1" applyBorder="1" applyAlignment="1">
      <alignmen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 fillId="0" borderId="10" xfId="0" applyFont="1" applyBorder="1" applyAlignment="1">
      <alignment vertical="top" wrapText="1"/>
    </xf>
    <xf numFmtId="3" fontId="3" fillId="0" borderId="2" xfId="0" applyNumberFormat="1" applyFont="1" applyBorder="1" applyAlignment="1">
      <alignment vertical="top" wrapText="1"/>
    </xf>
    <xf numFmtId="3" fontId="3" fillId="0" borderId="9" xfId="0" applyNumberFormat="1" applyFont="1" applyBorder="1" applyAlignment="1">
      <alignment vertical="top" wrapText="1"/>
    </xf>
    <xf numFmtId="0" fontId="3" fillId="0" borderId="6" xfId="0" applyFont="1" applyBorder="1" applyAlignment="1">
      <alignment vertical="top" wrapText="1"/>
    </xf>
    <xf numFmtId="164" fontId="3" fillId="0" borderId="4" xfId="1" applyFont="1" applyBorder="1" applyAlignment="1">
      <alignment horizontal="right" vertical="top" wrapText="1"/>
    </xf>
    <xf numFmtId="164" fontId="8" fillId="4" borderId="0" xfId="1" applyFont="1" applyFill="1"/>
    <xf numFmtId="3" fontId="1" fillId="0" borderId="0" xfId="0" applyNumberFormat="1" applyFont="1" applyAlignment="1">
      <alignment vertical="top" wrapText="1"/>
    </xf>
    <xf numFmtId="1" fontId="3" fillId="0" borderId="2" xfId="0" applyNumberFormat="1" applyFont="1" applyBorder="1" applyAlignment="1">
      <alignment vertical="top" wrapText="1"/>
    </xf>
    <xf numFmtId="3" fontId="3" fillId="0" borderId="0" xfId="0" applyNumberFormat="1" applyFont="1" applyAlignment="1">
      <alignment vertical="top" wrapText="1"/>
    </xf>
    <xf numFmtId="0" fontId="1" fillId="0" borderId="0" xfId="0" applyFont="1" applyAlignment="1">
      <alignment horizontal="right" vertical="top" wrapText="1"/>
    </xf>
    <xf numFmtId="0" fontId="1" fillId="0" borderId="22" xfId="0" applyFont="1" applyBorder="1" applyAlignment="1">
      <alignment horizontal="right" vertical="top" wrapText="1"/>
    </xf>
    <xf numFmtId="0" fontId="1" fillId="0" borderId="23"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vertical="top" wrapText="1"/>
    </xf>
    <xf numFmtId="9" fontId="1" fillId="0" borderId="27" xfId="7" applyFont="1" applyBorder="1" applyAlignment="1">
      <alignment vertical="top" wrapText="1"/>
    </xf>
    <xf numFmtId="16" fontId="1" fillId="0" borderId="24" xfId="0" applyNumberFormat="1" applyFont="1" applyBorder="1" applyAlignment="1">
      <alignment horizontal="right" vertical="top" wrapText="1"/>
    </xf>
    <xf numFmtId="1" fontId="1" fillId="0" borderId="23" xfId="0" applyNumberFormat="1" applyFont="1" applyBorder="1" applyAlignment="1">
      <alignment vertical="top" wrapText="1"/>
    </xf>
    <xf numFmtId="1" fontId="1" fillId="0" borderId="28" xfId="0" applyNumberFormat="1" applyFont="1" applyBorder="1" applyAlignment="1">
      <alignment vertical="top" wrapText="1"/>
    </xf>
    <xf numFmtId="3" fontId="3" fillId="0" borderId="29" xfId="0" applyNumberFormat="1" applyFont="1" applyBorder="1" applyAlignment="1">
      <alignment horizontal="right" vertical="top" wrapText="1"/>
    </xf>
    <xf numFmtId="3" fontId="3" fillId="0" borderId="30" xfId="0" applyNumberFormat="1" applyFont="1" applyBorder="1" applyAlignment="1">
      <alignment horizontal="right" vertical="top" wrapText="1"/>
    </xf>
    <xf numFmtId="3" fontId="3" fillId="0" borderId="0" xfId="0" applyNumberFormat="1" applyFont="1" applyBorder="1" applyAlignment="1">
      <alignment horizontal="right" vertical="top" wrapText="1"/>
    </xf>
    <xf numFmtId="3" fontId="3" fillId="0" borderId="11" xfId="0" applyNumberFormat="1" applyFont="1" applyBorder="1" applyAlignment="1">
      <alignment horizontal="right" vertical="top" wrapText="1"/>
    </xf>
    <xf numFmtId="0" fontId="1" fillId="0" borderId="7" xfId="0" applyFont="1" applyBorder="1" applyAlignment="1">
      <alignment vertical="top" wrapText="1"/>
    </xf>
    <xf numFmtId="3" fontId="3" fillId="0" borderId="7" xfId="0" applyNumberFormat="1" applyFont="1" applyBorder="1" applyAlignment="1">
      <alignment vertical="top" wrapText="1"/>
    </xf>
    <xf numFmtId="0" fontId="3" fillId="0" borderId="10" xfId="0" applyFont="1" applyBorder="1" applyAlignment="1">
      <alignmen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3" fontId="1" fillId="0" borderId="0" xfId="0" applyNumberFormat="1" applyFont="1" applyBorder="1" applyAlignment="1">
      <alignment vertical="top" wrapText="1"/>
    </xf>
    <xf numFmtId="1" fontId="1" fillId="0" borderId="0" xfId="0" applyNumberFormat="1" applyFont="1" applyAlignment="1">
      <alignment vertical="top" wrapText="1"/>
    </xf>
    <xf numFmtId="0" fontId="1" fillId="0" borderId="22" xfId="0" applyFont="1" applyBorder="1" applyAlignment="1">
      <alignment vertical="top" wrapText="1"/>
    </xf>
    <xf numFmtId="9" fontId="0" fillId="0" borderId="0" xfId="7" applyFont="1"/>
    <xf numFmtId="4" fontId="0" fillId="0" borderId="0" xfId="0" applyNumberFormat="1"/>
    <xf numFmtId="0" fontId="0" fillId="11" borderId="0" xfId="0" applyFill="1"/>
    <xf numFmtId="0" fontId="10" fillId="12" borderId="36" xfId="0" applyFont="1" applyFill="1" applyBorder="1" applyAlignment="1">
      <alignment horizontal="right" wrapText="1"/>
    </xf>
    <xf numFmtId="0" fontId="10" fillId="0" borderId="0" xfId="0" applyFont="1"/>
    <xf numFmtId="3" fontId="0" fillId="0" borderId="0" xfId="0" applyNumberFormat="1"/>
    <xf numFmtId="1" fontId="0" fillId="0" borderId="0" xfId="0" applyNumberFormat="1"/>
    <xf numFmtId="3" fontId="11" fillId="0"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69" fontId="11" fillId="0" borderId="1" xfId="0" applyNumberFormat="1" applyFont="1" applyBorder="1" applyAlignment="1">
      <alignment horizontal="center" vertical="center" wrapText="1"/>
    </xf>
    <xf numFmtId="3" fontId="6" fillId="0" borderId="0" xfId="0" applyNumberFormat="1" applyFont="1"/>
    <xf numFmtId="168" fontId="0" fillId="0" borderId="0" xfId="1" applyNumberFormat="1" applyFont="1"/>
    <xf numFmtId="10" fontId="0" fillId="0" borderId="0" xfId="7" applyNumberFormat="1" applyFont="1"/>
    <xf numFmtId="1" fontId="0" fillId="13" borderId="37" xfId="0" applyNumberFormat="1" applyFill="1" applyBorder="1" applyAlignment="1">
      <alignment horizontal="right"/>
    </xf>
    <xf numFmtId="1" fontId="0" fillId="14" borderId="37" xfId="0" applyNumberFormat="1" applyFill="1" applyBorder="1" applyAlignment="1">
      <alignment horizontal="right"/>
    </xf>
    <xf numFmtId="0" fontId="0" fillId="8" borderId="0" xfId="0" applyFill="1"/>
    <xf numFmtId="0" fontId="2" fillId="8" borderId="0" xfId="0" applyFont="1" applyFill="1"/>
    <xf numFmtId="168" fontId="2" fillId="8" borderId="0" xfId="0" applyNumberFormat="1" applyFont="1" applyFill="1"/>
    <xf numFmtId="3" fontId="6" fillId="8" borderId="0" xfId="0" applyNumberFormat="1" applyFont="1" applyFill="1" applyBorder="1"/>
    <xf numFmtId="0" fontId="0" fillId="8" borderId="0" xfId="0" applyFill="1" applyAlignment="1">
      <alignment horizontal="left" vertical="top" wrapText="1"/>
    </xf>
    <xf numFmtId="0" fontId="21" fillId="8" borderId="0" xfId="0" applyFont="1" applyFill="1" applyAlignment="1">
      <alignment horizontal="left" vertical="top" wrapText="1"/>
    </xf>
    <xf numFmtId="0" fontId="0" fillId="8" borderId="0" xfId="0" applyFont="1" applyFill="1"/>
    <xf numFmtId="3" fontId="0" fillId="8" borderId="0" xfId="0" applyNumberFormat="1" applyFill="1" applyAlignment="1">
      <alignment horizontal="right"/>
    </xf>
    <xf numFmtId="3" fontId="22" fillId="8" borderId="0" xfId="0" applyNumberFormat="1" applyFont="1" applyFill="1" applyAlignment="1">
      <alignment horizontal="right"/>
    </xf>
    <xf numFmtId="4" fontId="0" fillId="8" borderId="0" xfId="0" applyNumberFormat="1" applyFont="1" applyFill="1" applyBorder="1"/>
    <xf numFmtId="0" fontId="28" fillId="0" borderId="21"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3" xfId="0" applyFont="1" applyBorder="1" applyAlignment="1">
      <alignment horizontal="justify" vertical="center" wrapText="1"/>
    </xf>
    <xf numFmtId="4" fontId="29" fillId="0" borderId="19" xfId="0" applyNumberFormat="1" applyFont="1" applyBorder="1" applyAlignment="1">
      <alignment horizontal="right" vertical="center" wrapText="1"/>
    </xf>
    <xf numFmtId="4" fontId="29" fillId="0" borderId="19" xfId="0" applyNumberFormat="1" applyFont="1" applyBorder="1" applyAlignment="1">
      <alignment horizontal="center" vertical="center" wrapText="1"/>
    </xf>
    <xf numFmtId="10" fontId="29" fillId="0" borderId="19" xfId="0" applyNumberFormat="1" applyFont="1" applyBorder="1" applyAlignment="1">
      <alignment horizontal="center" vertical="center" wrapText="1"/>
    </xf>
    <xf numFmtId="0" fontId="0" fillId="8" borderId="0" xfId="0" applyFont="1" applyFill="1" applyBorder="1"/>
    <xf numFmtId="0" fontId="29" fillId="0" borderId="33" xfId="0" applyFont="1" applyFill="1" applyBorder="1" applyAlignment="1">
      <alignment horizontal="justify" vertical="center" wrapText="1"/>
    </xf>
    <xf numFmtId="0" fontId="29" fillId="0" borderId="19" xfId="0" applyFont="1" applyFill="1" applyBorder="1" applyAlignment="1">
      <alignment horizontal="left" vertical="center" wrapText="1"/>
    </xf>
    <xf numFmtId="0" fontId="29" fillId="0" borderId="19" xfId="0" applyFont="1" applyBorder="1" applyAlignment="1">
      <alignment horizontal="right" vertical="center" wrapText="1"/>
    </xf>
    <xf numFmtId="2" fontId="29" fillId="0" borderId="19" xfId="0" applyNumberFormat="1" applyFont="1" applyBorder="1" applyAlignment="1">
      <alignment horizontal="right" vertical="center" wrapText="1"/>
    </xf>
    <xf numFmtId="10" fontId="29" fillId="0" borderId="19" xfId="7" applyNumberFormat="1" applyFont="1" applyBorder="1" applyAlignment="1">
      <alignment horizontal="center" vertical="center" wrapText="1"/>
    </xf>
    <xf numFmtId="4" fontId="0" fillId="8" borderId="0" xfId="0" applyNumberFormat="1" applyFont="1" applyFill="1"/>
    <xf numFmtId="0" fontId="29" fillId="0" borderId="19" xfId="0" applyFont="1" applyFill="1" applyBorder="1" applyAlignment="1">
      <alignment horizontal="justify" vertical="center" wrapText="1"/>
    </xf>
    <xf numFmtId="4" fontId="28" fillId="0" borderId="19" xfId="0" applyNumberFormat="1" applyFont="1" applyBorder="1" applyAlignment="1">
      <alignment horizontal="center" vertical="center" wrapText="1"/>
    </xf>
    <xf numFmtId="170" fontId="28" fillId="0" borderId="19" xfId="7" applyNumberFormat="1" applyFont="1" applyBorder="1" applyAlignment="1">
      <alignment horizontal="center" vertical="center" wrapText="1"/>
    </xf>
    <xf numFmtId="3" fontId="2" fillId="8" borderId="0" xfId="0" applyNumberFormat="1" applyFont="1" applyFill="1" applyBorder="1" applyAlignment="1">
      <alignment horizontal="right" vertical="center" wrapText="1"/>
    </xf>
    <xf numFmtId="4" fontId="2" fillId="8" borderId="0" xfId="0" applyNumberFormat="1" applyFont="1" applyFill="1" applyBorder="1" applyAlignment="1">
      <alignment horizontal="right" vertical="center" wrapText="1"/>
    </xf>
    <xf numFmtId="3" fontId="0" fillId="8" borderId="0" xfId="0" applyNumberFormat="1" applyFont="1" applyFill="1" applyBorder="1" applyAlignment="1">
      <alignment vertical="top" wrapText="1"/>
    </xf>
    <xf numFmtId="3" fontId="0" fillId="8" borderId="0" xfId="0" applyNumberFormat="1" applyFont="1" applyFill="1" applyBorder="1"/>
    <xf numFmtId="3" fontId="29" fillId="8" borderId="0" xfId="0" applyNumberFormat="1" applyFont="1" applyFill="1" applyBorder="1" applyAlignment="1">
      <alignment horizontal="right" vertical="center" wrapText="1"/>
    </xf>
    <xf numFmtId="3" fontId="30" fillId="8" borderId="0" xfId="0" applyNumberFormat="1" applyFont="1" applyFill="1" applyBorder="1" applyAlignment="1">
      <alignment wrapText="1"/>
    </xf>
    <xf numFmtId="3" fontId="31" fillId="8" borderId="0" xfId="0" applyNumberFormat="1" applyFont="1" applyFill="1" applyBorder="1" applyAlignment="1">
      <alignment vertical="center" wrapText="1"/>
    </xf>
    <xf numFmtId="3" fontId="30" fillId="8" borderId="0" xfId="0" applyNumberFormat="1" applyFont="1" applyFill="1" applyBorder="1" applyAlignment="1">
      <alignment horizontal="right" wrapText="1"/>
    </xf>
    <xf numFmtId="3" fontId="30" fillId="8" borderId="0" xfId="0" applyNumberFormat="1" applyFont="1" applyFill="1" applyBorder="1" applyAlignment="1">
      <alignment horizontal="right" vertical="top" wrapText="1"/>
    </xf>
    <xf numFmtId="3" fontId="18" fillId="15" borderId="1" xfId="0" applyNumberFormat="1" applyFont="1" applyFill="1" applyBorder="1" applyAlignment="1">
      <alignment horizontal="center" vertical="center" wrapText="1"/>
    </xf>
    <xf numFmtId="3" fontId="3" fillId="17" borderId="1" xfId="0" applyNumberFormat="1" applyFont="1" applyFill="1" applyBorder="1" applyAlignment="1">
      <alignment horizontal="center" vertical="center"/>
    </xf>
    <xf numFmtId="3" fontId="2" fillId="10" borderId="1" xfId="0" applyNumberFormat="1" applyFont="1" applyFill="1" applyBorder="1" applyAlignment="1">
      <alignment vertical="distributed"/>
    </xf>
    <xf numFmtId="3" fontId="19" fillId="10" borderId="1" xfId="0" applyNumberFormat="1" applyFont="1" applyFill="1" applyBorder="1" applyAlignment="1">
      <alignment vertical="distributed"/>
    </xf>
    <xf numFmtId="3" fontId="20" fillId="17" borderId="1" xfId="0" applyNumberFormat="1" applyFont="1" applyFill="1" applyBorder="1" applyAlignment="1">
      <alignment vertical="distributed"/>
    </xf>
    <xf numFmtId="3" fontId="2" fillId="10" borderId="1" xfId="0" applyNumberFormat="1" applyFont="1" applyFill="1" applyBorder="1" applyAlignment="1">
      <alignment vertical="distributed" wrapText="1"/>
    </xf>
    <xf numFmtId="3" fontId="1" fillId="10" borderId="1" xfId="0" applyNumberFormat="1" applyFont="1" applyFill="1" applyBorder="1" applyAlignment="1">
      <alignment vertical="distributed" wrapText="1"/>
    </xf>
    <xf numFmtId="0" fontId="33" fillId="10" borderId="1" xfId="0" applyFont="1" applyFill="1" applyBorder="1" applyAlignment="1">
      <alignment vertical="center" wrapText="1"/>
    </xf>
    <xf numFmtId="0" fontId="17" fillId="0" borderId="19" xfId="0" applyFont="1" applyBorder="1" applyAlignment="1">
      <alignment horizontal="justify" vertical="center" wrapText="1"/>
    </xf>
    <xf numFmtId="0" fontId="17" fillId="0" borderId="19" xfId="0" applyFont="1" applyBorder="1" applyAlignment="1">
      <alignment horizontal="center" vertical="center" wrapText="1"/>
    </xf>
    <xf numFmtId="0" fontId="17" fillId="0" borderId="19" xfId="0" applyNumberFormat="1" applyFont="1" applyFill="1" applyBorder="1" applyAlignment="1">
      <alignment horizontal="center" vertical="center" wrapText="1"/>
    </xf>
    <xf numFmtId="0" fontId="17" fillId="0" borderId="19" xfId="0" applyNumberFormat="1" applyFont="1" applyBorder="1" applyAlignment="1">
      <alignment horizontal="center" vertical="center" wrapText="1"/>
    </xf>
    <xf numFmtId="0" fontId="34" fillId="0" borderId="19" xfId="0" applyFont="1" applyBorder="1" applyAlignment="1">
      <alignment horizontal="left" vertical="center" wrapText="1"/>
    </xf>
    <xf numFmtId="0" fontId="28" fillId="0" borderId="47" xfId="0" applyFont="1" applyBorder="1" applyAlignment="1">
      <alignment horizontal="justify" vertical="center" wrapText="1"/>
    </xf>
    <xf numFmtId="0" fontId="28" fillId="0" borderId="15" xfId="0" applyFont="1" applyBorder="1" applyAlignment="1">
      <alignment horizontal="justify" vertical="center" wrapText="1"/>
    </xf>
    <xf numFmtId="0" fontId="28" fillId="0" borderId="15" xfId="0" applyFont="1" applyBorder="1" applyAlignment="1">
      <alignment horizontal="center" vertical="center" wrapText="1"/>
    </xf>
    <xf numFmtId="0" fontId="28" fillId="0" borderId="15" xfId="0" applyNumberFormat="1" applyFont="1" applyFill="1" applyBorder="1" applyAlignment="1">
      <alignment horizontal="center" vertical="center" wrapText="1"/>
    </xf>
    <xf numFmtId="0" fontId="28" fillId="0" borderId="15" xfId="0" applyNumberFormat="1" applyFont="1" applyBorder="1" applyAlignment="1">
      <alignment horizontal="center" vertical="center" wrapText="1"/>
    </xf>
    <xf numFmtId="0" fontId="28" fillId="0" borderId="48" xfId="0" applyNumberFormat="1" applyFont="1" applyBorder="1" applyAlignment="1">
      <alignment horizontal="center" vertical="center" wrapText="1"/>
    </xf>
    <xf numFmtId="0" fontId="28" fillId="0" borderId="15" xfId="0" applyNumberFormat="1" applyFont="1" applyBorder="1" applyAlignment="1" applyProtection="1">
      <alignment horizontal="center" vertical="center"/>
      <protection locked="0"/>
    </xf>
    <xf numFmtId="0" fontId="28" fillId="0" borderId="35"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4" xfId="0" applyFont="1" applyBorder="1" applyAlignment="1">
      <alignment horizontal="justify" vertical="center" wrapText="1"/>
    </xf>
    <xf numFmtId="0" fontId="35" fillId="19" borderId="33" xfId="0" applyFont="1" applyFill="1" applyBorder="1" applyAlignment="1">
      <alignment horizontal="justify" vertical="center" wrapText="1"/>
    </xf>
    <xf numFmtId="0" fontId="35" fillId="19" borderId="19" xfId="0" applyFont="1" applyFill="1" applyBorder="1" applyAlignment="1">
      <alignment horizontal="justify" vertical="center" wrapText="1"/>
    </xf>
    <xf numFmtId="0" fontId="1" fillId="8" borderId="0" xfId="0" applyFont="1" applyFill="1"/>
    <xf numFmtId="0" fontId="4" fillId="0" borderId="0" xfId="0" applyFont="1" applyBorder="1" applyAlignment="1">
      <alignment horizontal="center" vertical="center"/>
    </xf>
    <xf numFmtId="0" fontId="28" fillId="19" borderId="19" xfId="0" applyFont="1" applyFill="1" applyBorder="1" applyAlignment="1">
      <alignment horizontal="right" vertical="center" wrapText="1"/>
    </xf>
    <xf numFmtId="4" fontId="28" fillId="19" borderId="19" xfId="0" applyNumberFormat="1" applyFont="1" applyFill="1" applyBorder="1" applyAlignment="1">
      <alignment horizontal="right" vertical="center" wrapText="1"/>
    </xf>
    <xf numFmtId="2" fontId="2" fillId="8" borderId="0" xfId="0" applyNumberFormat="1" applyFont="1" applyFill="1"/>
    <xf numFmtId="0" fontId="34" fillId="0" borderId="19" xfId="0" applyFont="1" applyBorder="1" applyAlignment="1">
      <alignment horizontal="justify" vertical="center" wrapText="1"/>
    </xf>
    <xf numFmtId="0" fontId="34" fillId="0" borderId="33" xfId="0" applyFont="1" applyBorder="1" applyAlignment="1">
      <alignment horizontal="center" vertical="center" wrapText="1"/>
    </xf>
    <xf numFmtId="0" fontId="36" fillId="0" borderId="19" xfId="0" applyFont="1" applyBorder="1" applyAlignment="1">
      <alignment horizontal="left" vertical="center" wrapText="1"/>
    </xf>
    <xf numFmtId="4" fontId="29" fillId="18" borderId="19" xfId="0" applyNumberFormat="1" applyFont="1" applyFill="1" applyBorder="1" applyAlignment="1">
      <alignment horizontal="right" vertical="center" wrapText="1"/>
    </xf>
    <xf numFmtId="0" fontId="37" fillId="0" borderId="19" xfId="0" applyFont="1" applyBorder="1" applyAlignment="1">
      <alignment horizontal="left" vertical="center" wrapText="1"/>
    </xf>
    <xf numFmtId="0" fontId="38" fillId="0" borderId="19" xfId="0" applyNumberFormat="1" applyFont="1" applyBorder="1" applyAlignment="1">
      <alignment horizontal="center" vertical="center" wrapText="1"/>
    </xf>
    <xf numFmtId="4" fontId="27" fillId="8" borderId="0" xfId="0" applyNumberFormat="1" applyFont="1" applyFill="1" applyAlignment="1"/>
    <xf numFmtId="3" fontId="27" fillId="8" borderId="0" xfId="0" applyNumberFormat="1" applyFont="1" applyFill="1" applyAlignment="1"/>
    <xf numFmtId="4" fontId="40" fillId="8" borderId="0" xfId="0" applyNumberFormat="1" applyFont="1" applyFill="1"/>
    <xf numFmtId="0" fontId="35" fillId="0" borderId="19" xfId="0" applyFont="1" applyBorder="1" applyAlignment="1">
      <alignment horizontal="center" vertical="center" wrapText="1"/>
    </xf>
    <xf numFmtId="4" fontId="29" fillId="8" borderId="19" xfId="0" applyNumberFormat="1" applyFont="1" applyFill="1" applyBorder="1" applyAlignment="1">
      <alignment horizontal="right" vertical="center" wrapText="1"/>
    </xf>
    <xf numFmtId="171" fontId="6" fillId="8" borderId="0" xfId="0" applyNumberFormat="1" applyFont="1" applyFill="1" applyBorder="1"/>
    <xf numFmtId="172" fontId="0" fillId="8" borderId="0" xfId="0" applyNumberFormat="1" applyFont="1" applyFill="1"/>
    <xf numFmtId="4" fontId="39" fillId="18" borderId="19" xfId="0" applyNumberFormat="1" applyFont="1" applyFill="1" applyBorder="1" applyAlignment="1">
      <alignment horizontal="right" vertical="center" wrapText="1"/>
    </xf>
    <xf numFmtId="0" fontId="42" fillId="8" borderId="0" xfId="0" applyFont="1" applyFill="1" applyBorder="1"/>
    <xf numFmtId="3" fontId="42" fillId="8" borderId="0" xfId="0" applyNumberFormat="1" applyFont="1" applyFill="1" applyBorder="1" applyAlignment="1">
      <alignment vertical="center" wrapText="1"/>
    </xf>
    <xf numFmtId="3" fontId="42" fillId="8" borderId="0" xfId="0" applyNumberFormat="1" applyFont="1" applyFill="1" applyBorder="1" applyAlignment="1"/>
    <xf numFmtId="3" fontId="42" fillId="8" borderId="0" xfId="0" applyNumberFormat="1" applyFont="1" applyFill="1" applyBorder="1" applyAlignment="1">
      <alignment horizontal="right" vertical="center" wrapText="1"/>
    </xf>
    <xf numFmtId="3" fontId="42" fillId="8" borderId="0" xfId="0" applyNumberFormat="1" applyFont="1" applyFill="1" applyBorder="1"/>
    <xf numFmtId="4" fontId="6" fillId="8" borderId="0" xfId="0" applyNumberFormat="1" applyFont="1" applyFill="1" applyBorder="1"/>
    <xf numFmtId="3" fontId="32" fillId="2" borderId="50" xfId="0" applyNumberFormat="1" applyFont="1" applyFill="1" applyBorder="1" applyAlignment="1">
      <alignment horizontal="center" vertical="center" wrapText="1"/>
    </xf>
    <xf numFmtId="0" fontId="23" fillId="2" borderId="52" xfId="0" applyFont="1" applyFill="1" applyBorder="1" applyAlignment="1">
      <alignment horizontal="center" vertical="top" wrapText="1"/>
    </xf>
    <xf numFmtId="3" fontId="18" fillId="16" borderId="52" xfId="0" applyNumberFormat="1" applyFont="1" applyFill="1" applyBorder="1" applyAlignment="1">
      <alignment vertical="top" wrapText="1"/>
    </xf>
    <xf numFmtId="9" fontId="18" fillId="16" borderId="52" xfId="7" applyFont="1" applyFill="1" applyBorder="1" applyAlignment="1">
      <alignment vertical="top" wrapText="1"/>
    </xf>
    <xf numFmtId="9" fontId="18" fillId="16" borderId="52" xfId="0" applyNumberFormat="1" applyFont="1" applyFill="1" applyBorder="1" applyAlignment="1">
      <alignment vertical="top" wrapText="1"/>
    </xf>
    <xf numFmtId="4" fontId="3" fillId="2" borderId="52" xfId="0" applyNumberFormat="1" applyFont="1" applyFill="1" applyBorder="1" applyAlignment="1">
      <alignment vertical="center" wrapText="1"/>
    </xf>
    <xf numFmtId="0" fontId="47" fillId="8" borderId="0" xfId="0" applyFont="1" applyFill="1" applyBorder="1"/>
    <xf numFmtId="4" fontId="47" fillId="8" borderId="0" xfId="0" applyNumberFormat="1" applyFont="1" applyFill="1"/>
    <xf numFmtId="3" fontId="48" fillId="8" borderId="0" xfId="0" applyNumberFormat="1" applyFont="1" applyFill="1" applyBorder="1" applyAlignment="1">
      <alignment horizontal="center" vertical="center" wrapText="1"/>
    </xf>
    <xf numFmtId="3" fontId="47" fillId="8" borderId="0" xfId="0" applyNumberFormat="1" applyFont="1" applyFill="1" applyBorder="1" applyAlignment="1">
      <alignment vertical="center" wrapText="1"/>
    </xf>
    <xf numFmtId="3" fontId="48" fillId="8" borderId="0" xfId="0" applyNumberFormat="1" applyFont="1" applyFill="1" applyBorder="1" applyAlignment="1">
      <alignment vertical="top" wrapText="1"/>
    </xf>
    <xf numFmtId="0" fontId="28" fillId="0" borderId="21" xfId="0" applyFont="1" applyBorder="1" applyAlignment="1">
      <alignment horizontal="center" vertical="center" wrapText="1"/>
    </xf>
    <xf numFmtId="4" fontId="29" fillId="0" borderId="19" xfId="0" applyNumberFormat="1" applyFont="1" applyFill="1" applyBorder="1" applyAlignment="1">
      <alignment horizontal="center" vertical="center" wrapText="1"/>
    </xf>
    <xf numFmtId="0" fontId="29" fillId="0" borderId="19" xfId="0" applyFont="1" applyFill="1" applyBorder="1" applyAlignment="1">
      <alignment horizontal="center" vertical="center" wrapText="1"/>
    </xf>
    <xf numFmtId="4" fontId="29" fillId="20" borderId="19" xfId="0" applyNumberFormat="1" applyFont="1" applyFill="1" applyBorder="1" applyAlignment="1">
      <alignment horizontal="right" vertical="center" wrapText="1"/>
    </xf>
    <xf numFmtId="4" fontId="28" fillId="20" borderId="19" xfId="0" applyNumberFormat="1" applyFont="1" applyFill="1" applyBorder="1" applyAlignment="1">
      <alignment horizontal="right" vertical="center" wrapText="1"/>
    </xf>
    <xf numFmtId="0" fontId="2" fillId="8" borderId="0" xfId="0" applyFont="1" applyFill="1" applyAlignment="1">
      <alignment horizontal="center" vertical="center" wrapText="1"/>
    </xf>
    <xf numFmtId="4" fontId="29" fillId="20" borderId="1" xfId="0" applyNumberFormat="1" applyFont="1" applyFill="1" applyBorder="1" applyAlignment="1">
      <alignment horizontal="right" vertical="center" wrapText="1"/>
    </xf>
    <xf numFmtId="3" fontId="23" fillId="2" borderId="52" xfId="0" applyNumberFormat="1" applyFont="1" applyFill="1" applyBorder="1" applyAlignment="1">
      <alignment horizontal="center" vertical="top" wrapText="1"/>
    </xf>
    <xf numFmtId="3" fontId="3" fillId="2" borderId="52" xfId="7" applyNumberFormat="1" applyFont="1" applyFill="1" applyBorder="1" applyAlignment="1">
      <alignment horizontal="center" vertical="center" wrapText="1"/>
    </xf>
    <xf numFmtId="3" fontId="23" fillId="15" borderId="52" xfId="7" applyNumberFormat="1" applyFont="1" applyFill="1" applyBorder="1" applyAlignment="1">
      <alignment horizontal="right" vertical="top" wrapText="1"/>
    </xf>
    <xf numFmtId="0" fontId="21" fillId="8" borderId="0" xfId="0" applyFont="1" applyFill="1" applyBorder="1" applyAlignment="1">
      <alignment horizontal="left" vertical="top" wrapText="1"/>
    </xf>
    <xf numFmtId="3" fontId="0" fillId="8" borderId="0" xfId="0" applyNumberFormat="1" applyFill="1" applyBorder="1" applyAlignment="1">
      <alignment horizontal="right"/>
    </xf>
    <xf numFmtId="3" fontId="22" fillId="8" borderId="0" xfId="0" applyNumberFormat="1" applyFont="1" applyFill="1" applyBorder="1" applyAlignment="1">
      <alignment horizontal="right"/>
    </xf>
    <xf numFmtId="4" fontId="29" fillId="0" borderId="19" xfId="0" applyNumberFormat="1" applyFont="1" applyFill="1" applyBorder="1" applyAlignment="1">
      <alignment horizontal="right" vertical="center" wrapText="1"/>
    </xf>
    <xf numFmtId="0" fontId="29" fillId="0" borderId="19" xfId="0" applyFont="1" applyFill="1" applyBorder="1" applyAlignment="1">
      <alignment horizontal="right" vertical="center" wrapText="1"/>
    </xf>
    <xf numFmtId="3" fontId="25" fillId="16" borderId="52" xfId="0" applyNumberFormat="1" applyFont="1" applyFill="1" applyBorder="1" applyAlignment="1">
      <alignment horizontal="left" vertical="top" wrapText="1"/>
    </xf>
    <xf numFmtId="3" fontId="18" fillId="16" borderId="52" xfId="7" applyNumberFormat="1" applyFont="1" applyFill="1" applyBorder="1" applyAlignment="1">
      <alignment horizontal="center" vertical="top" wrapText="1"/>
    </xf>
    <xf numFmtId="3" fontId="25" fillId="16" borderId="52" xfId="0" applyNumberFormat="1" applyFont="1" applyFill="1" applyBorder="1" applyAlignment="1">
      <alignment vertical="top" wrapText="1"/>
    </xf>
    <xf numFmtId="0" fontId="25" fillId="2" borderId="52" xfId="0" applyFont="1" applyFill="1" applyBorder="1" applyAlignment="1">
      <alignment horizontal="center" vertical="top" wrapText="1"/>
    </xf>
    <xf numFmtId="3" fontId="25" fillId="2" borderId="52" xfId="0" applyNumberFormat="1" applyFont="1" applyFill="1" applyBorder="1" applyAlignment="1">
      <alignment horizontal="center" vertical="top" wrapText="1"/>
    </xf>
    <xf numFmtId="3" fontId="32" fillId="2" borderId="53" xfId="0" applyNumberFormat="1" applyFont="1" applyFill="1" applyBorder="1" applyAlignment="1">
      <alignment horizontal="center" vertical="center" wrapText="1"/>
    </xf>
    <xf numFmtId="0" fontId="23" fillId="2" borderId="54" xfId="0" applyFont="1" applyFill="1" applyBorder="1" applyAlignment="1">
      <alignment horizontal="center" vertical="top" wrapText="1"/>
    </xf>
    <xf numFmtId="9" fontId="3" fillId="2" borderId="54" xfId="0" applyNumberFormat="1" applyFont="1" applyFill="1" applyBorder="1" applyAlignment="1">
      <alignment horizontal="center" vertical="center" wrapText="1"/>
    </xf>
    <xf numFmtId="9" fontId="23" fillId="15" borderId="54" xfId="0" applyNumberFormat="1" applyFont="1" applyFill="1" applyBorder="1" applyAlignment="1">
      <alignment horizontal="right" vertical="top" wrapText="1"/>
    </xf>
    <xf numFmtId="3" fontId="49" fillId="16" borderId="51" xfId="0" applyNumberFormat="1" applyFont="1" applyFill="1" applyBorder="1" applyAlignment="1">
      <alignment horizontal="left" vertical="top" wrapText="1"/>
    </xf>
    <xf numFmtId="3" fontId="1" fillId="8" borderId="0" xfId="0" applyNumberFormat="1" applyFont="1" applyFill="1" applyBorder="1" applyAlignment="1">
      <alignment wrapText="1"/>
    </xf>
    <xf numFmtId="3" fontId="24" fillId="8" borderId="0" xfId="0" applyNumberFormat="1" applyFont="1" applyFill="1" applyBorder="1" applyAlignment="1">
      <alignment wrapText="1"/>
    </xf>
    <xf numFmtId="3" fontId="24" fillId="8" borderId="0" xfId="0" applyNumberFormat="1" applyFont="1" applyFill="1" applyBorder="1" applyAlignment="1">
      <alignment horizontal="center" wrapText="1"/>
    </xf>
    <xf numFmtId="9" fontId="1" fillId="8" borderId="0" xfId="7" applyFont="1" applyFill="1" applyBorder="1" applyAlignment="1">
      <alignment wrapText="1"/>
    </xf>
    <xf numFmtId="3" fontId="23" fillId="8" borderId="0" xfId="0" applyNumberFormat="1" applyFont="1" applyFill="1" applyBorder="1" applyAlignment="1">
      <alignment wrapText="1"/>
    </xf>
    <xf numFmtId="0" fontId="46" fillId="8" borderId="0" xfId="0" applyFont="1" applyFill="1" applyBorder="1" applyAlignment="1">
      <alignment vertical="top" wrapText="1"/>
    </xf>
    <xf numFmtId="3" fontId="18" fillId="16" borderId="56" xfId="0" applyNumberFormat="1" applyFont="1" applyFill="1" applyBorder="1" applyAlignment="1">
      <alignment vertical="top" wrapText="1"/>
    </xf>
    <xf numFmtId="9" fontId="18" fillId="16" borderId="56" xfId="0" applyNumberFormat="1" applyFont="1" applyFill="1" applyBorder="1" applyAlignment="1">
      <alignment vertical="top" wrapText="1"/>
    </xf>
    <xf numFmtId="9" fontId="3" fillId="2" borderId="57" xfId="0" applyNumberFormat="1" applyFont="1" applyFill="1" applyBorder="1" applyAlignment="1">
      <alignment horizontal="center" vertical="center" wrapText="1"/>
    </xf>
    <xf numFmtId="3" fontId="23" fillId="15" borderId="1" xfId="7" applyNumberFormat="1" applyFont="1" applyFill="1" applyBorder="1" applyAlignment="1">
      <alignment horizontal="right" vertical="top" wrapText="1"/>
    </xf>
    <xf numFmtId="9" fontId="23" fillId="15" borderId="1" xfId="0" applyNumberFormat="1" applyFont="1" applyFill="1" applyBorder="1" applyAlignment="1">
      <alignment horizontal="right" vertical="top" wrapText="1"/>
    </xf>
    <xf numFmtId="4" fontId="3" fillId="8" borderId="1" xfId="11" applyNumberFormat="1" applyFont="1" applyFill="1" applyBorder="1" applyAlignment="1">
      <alignment wrapText="1"/>
    </xf>
    <xf numFmtId="3" fontId="18" fillId="15" borderId="52" xfId="0" applyNumberFormat="1" applyFont="1" applyFill="1" applyBorder="1" applyAlignment="1">
      <alignment horizontal="center" vertical="top" wrapText="1"/>
    </xf>
    <xf numFmtId="4" fontId="18" fillId="15" borderId="52" xfId="0" applyNumberFormat="1" applyFont="1" applyFill="1" applyBorder="1" applyAlignment="1">
      <alignment horizontal="center" vertical="top" wrapText="1"/>
    </xf>
    <xf numFmtId="3" fontId="18" fillId="15" borderId="1" xfId="0" applyNumberFormat="1" applyFont="1" applyFill="1" applyBorder="1" applyAlignment="1">
      <alignment horizontal="center" vertical="top" wrapText="1"/>
    </xf>
    <xf numFmtId="3" fontId="25" fillId="15" borderId="52" xfId="0" applyNumberFormat="1" applyFont="1" applyFill="1" applyBorder="1" applyAlignment="1">
      <alignment horizontal="left" vertical="top" wrapText="1"/>
    </xf>
    <xf numFmtId="3" fontId="25" fillId="15" borderId="1" xfId="0" applyNumberFormat="1" applyFont="1" applyFill="1" applyBorder="1" applyAlignment="1">
      <alignment horizontal="left" vertical="top" wrapText="1"/>
    </xf>
    <xf numFmtId="4" fontId="28" fillId="0" borderId="0" xfId="0" applyNumberFormat="1" applyFont="1" applyFill="1" applyAlignment="1">
      <alignment horizontal="center" vertical="center" wrapText="1"/>
    </xf>
    <xf numFmtId="4" fontId="23" fillId="15" borderId="52" xfId="0" applyNumberFormat="1" applyFont="1" applyFill="1" applyBorder="1" applyAlignment="1">
      <alignment vertical="top" wrapText="1"/>
    </xf>
    <xf numFmtId="4" fontId="23" fillId="15" borderId="52" xfId="7" applyNumberFormat="1" applyFont="1" applyFill="1" applyBorder="1" applyAlignment="1">
      <alignment vertical="top" wrapText="1"/>
    </xf>
    <xf numFmtId="4" fontId="3" fillId="2" borderId="52" xfId="7" applyNumberFormat="1" applyFont="1" applyFill="1" applyBorder="1" applyAlignment="1">
      <alignment vertical="center" wrapText="1"/>
    </xf>
    <xf numFmtId="4" fontId="3" fillId="2" borderId="56" xfId="7" applyNumberFormat="1" applyFont="1" applyFill="1" applyBorder="1" applyAlignment="1">
      <alignment vertical="center" wrapText="1"/>
    </xf>
    <xf numFmtId="4" fontId="23" fillId="15" borderId="1" xfId="7" applyNumberFormat="1" applyFont="1" applyFill="1" applyBorder="1" applyAlignment="1">
      <alignment vertical="top" wrapText="1"/>
    </xf>
    <xf numFmtId="3" fontId="38" fillId="2" borderId="49" xfId="0" applyNumberFormat="1" applyFont="1" applyFill="1" applyBorder="1" applyAlignment="1">
      <alignment horizontal="center" vertical="center" wrapText="1"/>
    </xf>
    <xf numFmtId="3" fontId="38" fillId="2" borderId="50" xfId="0" applyNumberFormat="1" applyFont="1" applyFill="1" applyBorder="1" applyAlignment="1">
      <alignment horizontal="center" vertical="center" wrapText="1"/>
    </xf>
    <xf numFmtId="3" fontId="51" fillId="2" borderId="50" xfId="0" applyNumberFormat="1" applyFont="1" applyFill="1" applyBorder="1" applyAlignment="1">
      <alignment horizontal="center" vertical="center" wrapText="1"/>
    </xf>
    <xf numFmtId="0" fontId="25" fillId="2" borderId="51" xfId="0" applyFont="1" applyFill="1" applyBorder="1" applyAlignment="1">
      <alignment horizontal="center" vertical="top" wrapText="1"/>
    </xf>
    <xf numFmtId="3" fontId="49" fillId="15" borderId="51" xfId="0" applyNumberFormat="1" applyFont="1" applyFill="1" applyBorder="1" applyAlignment="1">
      <alignment horizontal="left" vertical="top" wrapText="1"/>
    </xf>
    <xf numFmtId="3" fontId="18" fillId="15" borderId="52" xfId="0" applyNumberFormat="1" applyFont="1" applyFill="1" applyBorder="1" applyAlignment="1">
      <alignment vertical="top" wrapText="1"/>
    </xf>
    <xf numFmtId="3" fontId="25" fillId="15" borderId="52" xfId="0" applyNumberFormat="1" applyFont="1" applyFill="1" applyBorder="1" applyAlignment="1">
      <alignment vertical="top" wrapText="1"/>
    </xf>
    <xf numFmtId="3" fontId="49" fillId="15" borderId="52" xfId="0" applyNumberFormat="1" applyFont="1" applyFill="1" applyBorder="1" applyAlignment="1">
      <alignment horizontal="left" vertical="top" wrapText="1"/>
    </xf>
    <xf numFmtId="3" fontId="18" fillId="16" borderId="52" xfId="0" applyNumberFormat="1" applyFont="1" applyFill="1" applyBorder="1" applyAlignment="1">
      <alignment horizontal="left" vertical="top" wrapText="1"/>
    </xf>
    <xf numFmtId="3" fontId="25" fillId="15" borderId="52" xfId="0" applyNumberFormat="1" applyFont="1" applyFill="1" applyBorder="1" applyAlignment="1">
      <alignment horizontal="right" vertical="top" wrapText="1"/>
    </xf>
    <xf numFmtId="3" fontId="49" fillId="16" borderId="55" xfId="0" applyNumberFormat="1" applyFont="1" applyFill="1" applyBorder="1" applyAlignment="1">
      <alignment vertical="top" wrapText="1"/>
    </xf>
    <xf numFmtId="3" fontId="25" fillId="16" borderId="56" xfId="0" applyNumberFormat="1" applyFont="1" applyFill="1" applyBorder="1" applyAlignment="1">
      <alignment horizontal="left" vertical="top" wrapText="1"/>
    </xf>
    <xf numFmtId="3" fontId="49" fillId="15" borderId="1" xfId="0" applyNumberFormat="1" applyFont="1" applyFill="1" applyBorder="1" applyAlignment="1">
      <alignment horizontal="left" vertical="top" wrapText="1"/>
    </xf>
    <xf numFmtId="3" fontId="18" fillId="15" borderId="1" xfId="0" applyNumberFormat="1" applyFont="1" applyFill="1" applyBorder="1" applyAlignment="1">
      <alignment vertical="top" wrapText="1"/>
    </xf>
    <xf numFmtId="3" fontId="25" fillId="15" borderId="1" xfId="0" applyNumberFormat="1" applyFont="1" applyFill="1" applyBorder="1" applyAlignment="1">
      <alignment vertical="top" wrapText="1"/>
    </xf>
    <xf numFmtId="0" fontId="2" fillId="8" borderId="0" xfId="0" applyFont="1" applyFill="1" applyBorder="1"/>
    <xf numFmtId="4" fontId="43" fillId="8" borderId="0" xfId="0" applyNumberFormat="1" applyFont="1" applyFill="1" applyBorder="1"/>
    <xf numFmtId="1" fontId="2" fillId="8" borderId="0" xfId="0" applyNumberFormat="1" applyFont="1" applyFill="1" applyBorder="1"/>
    <xf numFmtId="0" fontId="14" fillId="8" borderId="0" xfId="0" applyFont="1" applyFill="1" applyBorder="1"/>
    <xf numFmtId="4" fontId="41" fillId="8" borderId="0" xfId="0" applyNumberFormat="1" applyFont="1" applyFill="1" applyBorder="1"/>
    <xf numFmtId="0" fontId="15" fillId="8" borderId="0" xfId="0" applyFont="1" applyFill="1" applyBorder="1"/>
    <xf numFmtId="0" fontId="13" fillId="8" borderId="0" xfId="0" applyFont="1" applyFill="1" applyBorder="1"/>
    <xf numFmtId="0" fontId="12" fillId="8" borderId="0" xfId="0" applyFont="1" applyFill="1" applyBorder="1"/>
    <xf numFmtId="4" fontId="50" fillId="0" borderId="52" xfId="7" applyNumberFormat="1" applyFont="1" applyFill="1" applyBorder="1" applyAlignment="1">
      <alignment vertical="center" wrapText="1"/>
    </xf>
    <xf numFmtId="4" fontId="50" fillId="0" borderId="56" xfId="7" applyNumberFormat="1" applyFont="1" applyFill="1" applyBorder="1" applyAlignment="1">
      <alignment vertical="center" wrapText="1"/>
    </xf>
    <xf numFmtId="4" fontId="47" fillId="8" borderId="0" xfId="0" applyNumberFormat="1" applyFont="1" applyFill="1" applyBorder="1"/>
    <xf numFmtId="0" fontId="26" fillId="8" borderId="0" xfId="0" applyFont="1" applyFill="1" applyBorder="1" applyAlignment="1">
      <alignment vertical="center" wrapText="1"/>
    </xf>
    <xf numFmtId="0" fontId="20" fillId="8" borderId="0" xfId="0" applyFont="1" applyFill="1" applyBorder="1" applyAlignment="1">
      <alignment vertical="center" wrapText="1"/>
    </xf>
    <xf numFmtId="0" fontId="20" fillId="8" borderId="0" xfId="0" applyFont="1" applyFill="1" applyBorder="1" applyAlignment="1">
      <alignment horizontal="justify" vertical="center" wrapText="1"/>
    </xf>
    <xf numFmtId="0" fontId="20" fillId="8" borderId="0" xfId="0" applyFont="1" applyFill="1" applyBorder="1" applyAlignment="1">
      <alignment horizontal="center" vertical="center" wrapText="1"/>
    </xf>
    <xf numFmtId="0" fontId="2" fillId="8" borderId="0" xfId="0" applyFont="1" applyFill="1" applyBorder="1" applyAlignment="1">
      <alignment horizontal="justify" vertical="center" wrapText="1"/>
    </xf>
    <xf numFmtId="0" fontId="2" fillId="8" borderId="0" xfId="0" applyFont="1" applyFill="1" applyBorder="1" applyAlignment="1">
      <alignment horizontal="center" vertical="center" wrapText="1"/>
    </xf>
    <xf numFmtId="4" fontId="14" fillId="8" borderId="0" xfId="0" applyNumberFormat="1" applyFont="1" applyFill="1" applyBorder="1"/>
    <xf numFmtId="0" fontId="44" fillId="8" borderId="0" xfId="0" applyFont="1" applyFill="1" applyBorder="1" applyAlignment="1">
      <alignment vertical="center" wrapText="1"/>
    </xf>
    <xf numFmtId="0" fontId="45" fillId="8" borderId="0" xfId="0" applyFont="1" applyFill="1" applyBorder="1" applyAlignment="1">
      <alignment vertical="top" wrapText="1"/>
    </xf>
    <xf numFmtId="0" fontId="24" fillId="8" borderId="0" xfId="0" applyFont="1" applyFill="1" applyBorder="1" applyAlignment="1">
      <alignment vertical="top" wrapText="1"/>
    </xf>
    <xf numFmtId="0" fontId="1" fillId="8" borderId="0" xfId="0" applyFont="1" applyFill="1" applyBorder="1" applyAlignment="1">
      <alignment vertical="top" wrapText="1"/>
    </xf>
    <xf numFmtId="4" fontId="50" fillId="8" borderId="0" xfId="7" applyNumberFormat="1" applyFont="1" applyFill="1" applyBorder="1" applyAlignment="1">
      <alignment vertical="center" wrapText="1"/>
    </xf>
    <xf numFmtId="3" fontId="32" fillId="2" borderId="52" xfId="0" applyNumberFormat="1" applyFont="1" applyFill="1" applyBorder="1" applyAlignment="1">
      <alignment horizontal="center" vertical="center" wrapText="1"/>
    </xf>
    <xf numFmtId="0" fontId="52" fillId="8" borderId="0" xfId="0" applyFont="1" applyFill="1" applyBorder="1" applyAlignment="1">
      <alignment vertical="top" wrapText="1"/>
    </xf>
    <xf numFmtId="3" fontId="18" fillId="8" borderId="0" xfId="0" applyNumberFormat="1" applyFont="1" applyFill="1" applyBorder="1" applyAlignment="1">
      <alignment wrapText="1"/>
    </xf>
    <xf numFmtId="4" fontId="2" fillId="8" borderId="0" xfId="0" applyNumberFormat="1" applyFont="1" applyFill="1"/>
    <xf numFmtId="0" fontId="53" fillId="8" borderId="0" xfId="0" applyFont="1" applyFill="1"/>
    <xf numFmtId="3" fontId="49" fillId="2" borderId="52" xfId="7" applyNumberFormat="1" applyFont="1" applyFill="1" applyBorder="1" applyAlignment="1">
      <alignment horizontal="center" vertical="center" wrapText="1"/>
    </xf>
    <xf numFmtId="4" fontId="25" fillId="15" borderId="52" xfId="7" applyNumberFormat="1" applyFont="1" applyFill="1" applyBorder="1" applyAlignment="1">
      <alignment vertical="top" wrapText="1"/>
    </xf>
    <xf numFmtId="9" fontId="25" fillId="15" borderId="54" xfId="0" applyNumberFormat="1" applyFont="1" applyFill="1" applyBorder="1" applyAlignment="1">
      <alignment horizontal="right" vertical="top" wrapText="1"/>
    </xf>
    <xf numFmtId="4" fontId="49" fillId="0" borderId="52" xfId="7" applyNumberFormat="1" applyFont="1" applyFill="1" applyBorder="1" applyAlignment="1">
      <alignment vertical="center" wrapText="1"/>
    </xf>
    <xf numFmtId="4" fontId="19" fillId="10" borderId="1" xfId="0" applyNumberFormat="1" applyFont="1" applyFill="1" applyBorder="1" applyAlignment="1">
      <alignment vertical="distributed"/>
    </xf>
    <xf numFmtId="4" fontId="20" fillId="17" borderId="1" xfId="0" applyNumberFormat="1" applyFont="1" applyFill="1" applyBorder="1" applyAlignment="1">
      <alignment vertical="distributed"/>
    </xf>
    <xf numFmtId="3" fontId="18" fillId="8" borderId="0" xfId="0" applyNumberFormat="1" applyFont="1" applyFill="1" applyBorder="1" applyAlignment="1">
      <alignment horizontal="center" wrapText="1"/>
    </xf>
    <xf numFmtId="9" fontId="18" fillId="8" borderId="0" xfId="7" applyFont="1" applyFill="1" applyBorder="1" applyAlignment="1">
      <alignment wrapText="1"/>
    </xf>
    <xf numFmtId="3" fontId="25" fillId="8" borderId="0" xfId="0" applyNumberFormat="1" applyFont="1" applyFill="1" applyBorder="1" applyAlignment="1">
      <alignment wrapText="1"/>
    </xf>
    <xf numFmtId="4" fontId="18" fillId="15" borderId="52" xfId="0" applyNumberFormat="1" applyFont="1" applyFill="1" applyBorder="1" applyAlignment="1">
      <alignment vertical="top" wrapText="1"/>
    </xf>
    <xf numFmtId="173" fontId="29" fillId="0" borderId="19" xfId="0" applyNumberFormat="1" applyFont="1" applyBorder="1" applyAlignment="1">
      <alignment horizontal="center" vertical="center" wrapText="1"/>
    </xf>
    <xf numFmtId="173" fontId="29" fillId="0" borderId="19" xfId="7" applyNumberFormat="1" applyFont="1" applyBorder="1" applyAlignment="1">
      <alignment horizontal="center" vertical="center" wrapText="1"/>
    </xf>
    <xf numFmtId="3" fontId="24" fillId="15" borderId="1" xfId="0" applyNumberFormat="1" applyFont="1" applyFill="1" applyBorder="1" applyAlignment="1">
      <alignment horizontal="center" vertical="center" wrapText="1"/>
    </xf>
    <xf numFmtId="3" fontId="55" fillId="10" borderId="1" xfId="0" applyNumberFormat="1" applyFont="1" applyFill="1" applyBorder="1" applyAlignment="1">
      <alignment vertical="distributed"/>
    </xf>
    <xf numFmtId="3" fontId="54" fillId="8" borderId="0" xfId="0" applyNumberFormat="1" applyFont="1" applyFill="1" applyBorder="1" applyAlignment="1">
      <alignment horizontal="right"/>
    </xf>
    <xf numFmtId="3" fontId="56" fillId="8" borderId="0" xfId="0" applyNumberFormat="1" applyFont="1" applyFill="1" applyBorder="1" applyAlignment="1">
      <alignment horizontal="right"/>
    </xf>
    <xf numFmtId="3" fontId="56" fillId="8" borderId="0" xfId="0" applyNumberFormat="1" applyFont="1" applyFill="1" applyAlignment="1">
      <alignment horizontal="right"/>
    </xf>
    <xf numFmtId="3" fontId="54" fillId="8" borderId="0" xfId="0" applyNumberFormat="1" applyFont="1" applyFill="1" applyAlignment="1">
      <alignment horizontal="right"/>
    </xf>
    <xf numFmtId="3" fontId="3" fillId="16" borderId="51" xfId="0" applyNumberFormat="1" applyFont="1" applyFill="1" applyBorder="1" applyAlignment="1">
      <alignment vertical="top" wrapText="1"/>
    </xf>
    <xf numFmtId="3" fontId="23" fillId="16" borderId="52" xfId="0" applyNumberFormat="1" applyFont="1" applyFill="1" applyBorder="1" applyAlignment="1">
      <alignment horizontal="left" vertical="top" wrapText="1"/>
    </xf>
    <xf numFmtId="3" fontId="1" fillId="16" borderId="52" xfId="7" applyNumberFormat="1" applyFont="1" applyFill="1" applyBorder="1" applyAlignment="1">
      <alignment horizontal="center" vertical="top" wrapText="1"/>
    </xf>
    <xf numFmtId="3" fontId="1" fillId="16" borderId="52" xfId="0" applyNumberFormat="1" applyFont="1" applyFill="1" applyBorder="1" applyAlignment="1">
      <alignment vertical="top" wrapText="1"/>
    </xf>
    <xf numFmtId="9" fontId="1" fillId="16" borderId="52" xfId="7" applyFont="1" applyFill="1" applyBorder="1" applyAlignment="1">
      <alignment vertical="top" wrapText="1"/>
    </xf>
    <xf numFmtId="3" fontId="23" fillId="16" borderId="52" xfId="0" applyNumberFormat="1" applyFont="1" applyFill="1" applyBorder="1" applyAlignment="1">
      <alignment vertical="top" wrapText="1"/>
    </xf>
    <xf numFmtId="4" fontId="3" fillId="0" borderId="52" xfId="7" applyNumberFormat="1" applyFont="1" applyFill="1" applyBorder="1" applyAlignment="1">
      <alignment vertical="center" wrapText="1"/>
    </xf>
    <xf numFmtId="3" fontId="3" fillId="16" borderId="51" xfId="0" applyNumberFormat="1" applyFont="1" applyFill="1" applyBorder="1" applyAlignment="1">
      <alignment horizontal="left" vertical="top" wrapText="1"/>
    </xf>
    <xf numFmtId="3" fontId="1" fillId="16" borderId="52" xfId="0" applyNumberFormat="1" applyFont="1" applyFill="1" applyBorder="1" applyAlignment="1">
      <alignment horizontal="left" vertical="top" wrapText="1"/>
    </xf>
    <xf numFmtId="4" fontId="3" fillId="8" borderId="52" xfId="7" applyNumberFormat="1" applyFont="1" applyFill="1" applyBorder="1" applyAlignment="1">
      <alignment vertical="center" wrapText="1"/>
    </xf>
    <xf numFmtId="3" fontId="1" fillId="16" borderId="52" xfId="0" applyNumberFormat="1" applyFont="1" applyFill="1" applyBorder="1" applyAlignment="1">
      <alignment horizontal="center" vertical="top" wrapText="1"/>
    </xf>
    <xf numFmtId="9" fontId="1" fillId="16" borderId="52" xfId="0" applyNumberFormat="1" applyFont="1" applyFill="1" applyBorder="1" applyAlignment="1">
      <alignment vertical="top" wrapText="1"/>
    </xf>
    <xf numFmtId="4" fontId="1" fillId="16" borderId="52" xfId="7" applyNumberFormat="1" applyFont="1" applyFill="1" applyBorder="1" applyAlignment="1">
      <alignment horizontal="center" vertical="top" wrapText="1"/>
    </xf>
    <xf numFmtId="3" fontId="23" fillId="15" borderId="52" xfId="0" applyNumberFormat="1" applyFont="1" applyFill="1" applyBorder="1" applyAlignment="1">
      <alignment horizontal="left" vertical="top" wrapText="1"/>
    </xf>
    <xf numFmtId="3" fontId="1" fillId="15" borderId="52" xfId="0" applyNumberFormat="1" applyFont="1" applyFill="1" applyBorder="1" applyAlignment="1">
      <alignment horizontal="center" vertical="top" wrapText="1"/>
    </xf>
    <xf numFmtId="3" fontId="1" fillId="15" borderId="52" xfId="0" applyNumberFormat="1" applyFont="1" applyFill="1" applyBorder="1" applyAlignment="1">
      <alignment vertical="top" wrapText="1"/>
    </xf>
    <xf numFmtId="3" fontId="23" fillId="15" borderId="52" xfId="0" applyNumberFormat="1" applyFont="1" applyFill="1" applyBorder="1" applyAlignment="1">
      <alignment vertical="top" wrapText="1"/>
    </xf>
    <xf numFmtId="3" fontId="3" fillId="15" borderId="52" xfId="0" applyNumberFormat="1" applyFont="1" applyFill="1" applyBorder="1" applyAlignment="1">
      <alignment horizontal="left" vertical="top" wrapText="1"/>
    </xf>
    <xf numFmtId="0" fontId="1" fillId="16" borderId="52" xfId="0" applyFont="1" applyFill="1" applyBorder="1" applyAlignment="1">
      <alignment vertical="top" wrapText="1"/>
    </xf>
    <xf numFmtId="0" fontId="57" fillId="8" borderId="0" xfId="0" applyFont="1" applyFill="1" applyBorder="1" applyAlignment="1">
      <alignment vertical="top" wrapText="1"/>
    </xf>
    <xf numFmtId="4" fontId="50" fillId="0" borderId="1" xfId="7" applyNumberFormat="1" applyFont="1" applyFill="1" applyBorder="1" applyAlignment="1">
      <alignment vertical="center" wrapText="1"/>
    </xf>
    <xf numFmtId="0" fontId="33" fillId="21" borderId="1" xfId="0" applyFont="1" applyFill="1" applyBorder="1" applyAlignment="1">
      <alignment vertical="center" wrapText="1"/>
    </xf>
    <xf numFmtId="0" fontId="33" fillId="22" borderId="1" xfId="0" applyFont="1" applyFill="1" applyBorder="1" applyAlignment="1">
      <alignment vertical="center" wrapText="1"/>
    </xf>
    <xf numFmtId="3" fontId="0" fillId="8" borderId="0" xfId="0" applyNumberFormat="1" applyFont="1" applyFill="1"/>
    <xf numFmtId="3" fontId="0" fillId="8" borderId="0" xfId="0" applyNumberFormat="1" applyFont="1" applyFill="1" applyBorder="1" applyAlignment="1">
      <alignment horizontal="right" vertical="center" wrapText="1"/>
    </xf>
    <xf numFmtId="3" fontId="6" fillId="8" borderId="0" xfId="0" applyNumberFormat="1" applyFont="1" applyFill="1" applyBorder="1" applyAlignment="1">
      <alignment horizontal="right" vertical="center" wrapText="1"/>
    </xf>
    <xf numFmtId="0" fontId="0" fillId="8" borderId="0" xfId="0" applyFont="1" applyFill="1" applyAlignment="1">
      <alignment horizontal="left"/>
    </xf>
    <xf numFmtId="3" fontId="0" fillId="8" borderId="0" xfId="0" applyNumberFormat="1" applyFont="1" applyFill="1" applyBorder="1" applyAlignment="1">
      <alignment horizontal="left" vertical="center" wrapText="1"/>
    </xf>
    <xf numFmtId="3" fontId="6" fillId="8" borderId="0" xfId="0" applyNumberFormat="1" applyFont="1" applyFill="1" applyBorder="1" applyAlignment="1">
      <alignment horizontal="left" vertical="center" wrapText="1"/>
    </xf>
    <xf numFmtId="0" fontId="28" fillId="0" borderId="3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3" xfId="0" applyFont="1" applyBorder="1" applyAlignment="1">
      <alignment horizontal="justify" vertical="center" wrapText="1"/>
    </xf>
    <xf numFmtId="0" fontId="28" fillId="0" borderId="38" xfId="0" applyFont="1" applyBorder="1" applyAlignment="1">
      <alignment horizontal="justify" vertical="center" wrapText="1"/>
    </xf>
    <xf numFmtId="0" fontId="28"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3" fontId="3" fillId="8" borderId="1" xfId="0" applyNumberFormat="1" applyFont="1" applyFill="1" applyBorder="1" applyAlignment="1">
      <alignment wrapText="1"/>
    </xf>
    <xf numFmtId="174" fontId="29" fillId="0" borderId="19" xfId="0" applyNumberFormat="1" applyFont="1" applyBorder="1" applyAlignment="1">
      <alignment horizontal="center" vertical="center" wrapText="1"/>
    </xf>
    <xf numFmtId="174" fontId="28" fillId="0" borderId="19" xfId="7" applyNumberFormat="1" applyFont="1" applyBorder="1" applyAlignment="1">
      <alignment horizontal="center" vertical="center" wrapText="1"/>
    </xf>
    <xf numFmtId="3" fontId="2" fillId="8" borderId="0" xfId="0" applyNumberFormat="1" applyFont="1" applyFill="1"/>
    <xf numFmtId="0" fontId="20" fillId="8" borderId="0" xfId="0" applyFont="1" applyFill="1" applyAlignment="1">
      <alignment horizontal="right"/>
    </xf>
    <xf numFmtId="3" fontId="20" fillId="8" borderId="0" xfId="0" applyNumberFormat="1" applyFont="1" applyFill="1"/>
    <xf numFmtId="175" fontId="20" fillId="8" borderId="0" xfId="7" applyNumberFormat="1" applyFont="1" applyFill="1"/>
    <xf numFmtId="0" fontId="38" fillId="0" borderId="1" xfId="0" applyNumberFormat="1" applyFont="1" applyBorder="1" applyAlignment="1">
      <alignment horizontal="center" vertical="center" wrapText="1"/>
    </xf>
    <xf numFmtId="0" fontId="59" fillId="0" borderId="1" xfId="0" applyFont="1" applyBorder="1" applyAlignment="1">
      <alignment horizontal="left" vertical="center" wrapText="1"/>
    </xf>
    <xf numFmtId="2" fontId="59" fillId="0" borderId="1" xfId="0" applyNumberFormat="1" applyFont="1" applyBorder="1" applyAlignment="1">
      <alignment horizontal="right" vertical="center" wrapText="1"/>
    </xf>
    <xf numFmtId="3" fontId="59" fillId="0" borderId="1" xfId="0" applyNumberFormat="1" applyFont="1" applyBorder="1" applyAlignment="1">
      <alignment horizontal="right" vertical="center" wrapText="1"/>
    </xf>
    <xf numFmtId="3" fontId="59" fillId="20" borderId="1" xfId="0" applyNumberFormat="1" applyFont="1" applyFill="1" applyBorder="1" applyAlignment="1">
      <alignment horizontal="right" vertical="center" wrapText="1"/>
    </xf>
    <xf numFmtId="3" fontId="59" fillId="18" borderId="1" xfId="0" applyNumberFormat="1" applyFont="1" applyFill="1" applyBorder="1" applyAlignment="1">
      <alignment horizontal="right" vertical="center" wrapText="1"/>
    </xf>
    <xf numFmtId="0" fontId="58" fillId="0" borderId="1" xfId="0" applyFont="1" applyBorder="1" applyAlignment="1">
      <alignment horizontal="left" vertical="center" wrapText="1"/>
    </xf>
    <xf numFmtId="4" fontId="58" fillId="0" borderId="1" xfId="0" applyNumberFormat="1" applyFont="1" applyBorder="1" applyAlignment="1">
      <alignment horizontal="right" vertical="center" wrapText="1"/>
    </xf>
    <xf numFmtId="3" fontId="58" fillId="0" borderId="1" xfId="0" applyNumberFormat="1" applyFont="1" applyBorder="1" applyAlignment="1">
      <alignment horizontal="right" vertical="center" wrapText="1"/>
    </xf>
    <xf numFmtId="0" fontId="32" fillId="8" borderId="1" xfId="0" applyFont="1" applyFill="1" applyBorder="1" applyAlignment="1">
      <alignment vertical="center"/>
    </xf>
    <xf numFmtId="0" fontId="60" fillId="8" borderId="1" xfId="0" applyFont="1" applyFill="1" applyBorder="1"/>
    <xf numFmtId="10" fontId="32" fillId="8" borderId="1" xfId="7" applyNumberFormat="1" applyFont="1" applyFill="1" applyBorder="1" applyAlignment="1">
      <alignment vertical="center"/>
    </xf>
    <xf numFmtId="0" fontId="2" fillId="8" borderId="0" xfId="0" applyFont="1" applyFill="1" applyAlignment="1">
      <alignment horizontal="right"/>
    </xf>
    <xf numFmtId="176" fontId="2" fillId="8" borderId="0" xfId="0" applyNumberFormat="1" applyFont="1" applyFill="1"/>
    <xf numFmtId="3" fontId="24" fillId="16" borderId="52" xfId="7" applyNumberFormat="1" applyFont="1" applyFill="1" applyBorder="1" applyAlignment="1">
      <alignment horizontal="center" vertical="top" wrapText="1"/>
    </xf>
    <xf numFmtId="3" fontId="52" fillId="16" borderId="52" xfId="0" applyNumberFormat="1" applyFont="1" applyFill="1" applyBorder="1" applyAlignment="1">
      <alignment vertical="top" wrapText="1"/>
    </xf>
    <xf numFmtId="3" fontId="61" fillId="16" borderId="52" xfId="0" applyNumberFormat="1" applyFont="1" applyFill="1" applyBorder="1" applyAlignment="1">
      <alignment vertical="top" wrapText="1"/>
    </xf>
    <xf numFmtId="3" fontId="52" fillId="16" borderId="52" xfId="0" applyNumberFormat="1" applyFont="1" applyFill="1" applyBorder="1" applyAlignment="1">
      <alignment horizontal="left" vertical="top" wrapText="1"/>
    </xf>
    <xf numFmtId="0" fontId="62" fillId="10" borderId="1" xfId="0" applyFont="1" applyFill="1" applyBorder="1" applyAlignment="1">
      <alignment vertical="center" wrapText="1"/>
    </xf>
    <xf numFmtId="9" fontId="52" fillId="16" borderId="52" xfId="0" applyNumberFormat="1" applyFont="1" applyFill="1" applyBorder="1" applyAlignment="1">
      <alignment vertical="top" wrapText="1"/>
    </xf>
    <xf numFmtId="3" fontId="63" fillId="16" borderId="51" xfId="0" applyNumberFormat="1" applyFont="1" applyFill="1" applyBorder="1" applyAlignment="1">
      <alignment horizontal="left" vertical="top" wrapText="1"/>
    </xf>
    <xf numFmtId="3" fontId="55" fillId="10" borderId="1" xfId="0" applyNumberFormat="1" applyFont="1" applyFill="1" applyBorder="1" applyAlignment="1">
      <alignment vertical="distributed" wrapText="1"/>
    </xf>
    <xf numFmtId="4" fontId="33" fillId="10" borderId="1" xfId="0" applyNumberFormat="1" applyFont="1" applyFill="1" applyBorder="1" applyAlignment="1">
      <alignment vertical="center" wrapText="1"/>
    </xf>
    <xf numFmtId="4" fontId="62" fillId="10" borderId="1" xfId="0" applyNumberFormat="1" applyFont="1" applyFill="1" applyBorder="1" applyAlignment="1">
      <alignment vertical="center" wrapText="1"/>
    </xf>
    <xf numFmtId="0" fontId="18" fillId="2" borderId="52" xfId="0" applyFont="1" applyFill="1" applyBorder="1" applyAlignment="1">
      <alignment horizontal="center" vertical="top" wrapText="1"/>
    </xf>
    <xf numFmtId="3" fontId="18" fillId="16" borderId="52" xfId="0" applyNumberFormat="1" applyFont="1" applyFill="1" applyBorder="1" applyAlignment="1">
      <alignment horizontal="center" vertical="top" wrapText="1"/>
    </xf>
    <xf numFmtId="3" fontId="24" fillId="16" borderId="52" xfId="0" applyNumberFormat="1" applyFont="1" applyFill="1" applyBorder="1" applyAlignment="1">
      <alignment horizontal="center" vertical="top" wrapText="1"/>
    </xf>
    <xf numFmtId="3" fontId="64" fillId="17" borderId="1" xfId="0" applyNumberFormat="1" applyFont="1" applyFill="1" applyBorder="1" applyAlignment="1">
      <alignment vertical="distributed"/>
    </xf>
    <xf numFmtId="3" fontId="24" fillId="10" borderId="1" xfId="0" applyNumberFormat="1" applyFont="1" applyFill="1" applyBorder="1" applyAlignment="1">
      <alignment vertical="distributed" wrapText="1"/>
    </xf>
    <xf numFmtId="177" fontId="49" fillId="0" borderId="52" xfId="7" applyNumberFormat="1" applyFont="1" applyFill="1" applyBorder="1" applyAlignment="1">
      <alignment vertical="center" wrapText="1"/>
    </xf>
    <xf numFmtId="4" fontId="1" fillId="8" borderId="0" xfId="0" applyNumberFormat="1" applyFont="1" applyFill="1" applyBorder="1" applyAlignment="1">
      <alignment wrapText="1"/>
    </xf>
    <xf numFmtId="4" fontId="32" fillId="2" borderId="50" xfId="0" applyNumberFormat="1" applyFont="1" applyFill="1" applyBorder="1" applyAlignment="1">
      <alignment horizontal="center" vertical="center" wrapText="1"/>
    </xf>
    <xf numFmtId="4" fontId="23" fillId="2" borderId="52" xfId="0" applyNumberFormat="1" applyFont="1" applyFill="1" applyBorder="1" applyAlignment="1">
      <alignment horizontal="center" vertical="top" wrapText="1"/>
    </xf>
    <xf numFmtId="3" fontId="1" fillId="8" borderId="1" xfId="0" applyNumberFormat="1" applyFont="1" applyFill="1" applyBorder="1" applyAlignment="1">
      <alignment wrapText="1"/>
    </xf>
    <xf numFmtId="3" fontId="3" fillId="8" borderId="0" xfId="0" applyNumberFormat="1" applyFont="1" applyFill="1" applyBorder="1" applyAlignment="1">
      <alignment wrapText="1"/>
    </xf>
    <xf numFmtId="3" fontId="25" fillId="15" borderId="51" xfId="0" applyNumberFormat="1" applyFont="1" applyFill="1" applyBorder="1" applyAlignment="1">
      <alignment horizontal="left" vertical="top" wrapText="1"/>
    </xf>
    <xf numFmtId="4" fontId="18" fillId="15" borderId="1" xfId="0" applyNumberFormat="1" applyFont="1" applyFill="1" applyBorder="1" applyAlignment="1">
      <alignment horizontal="center" vertical="top" wrapText="1"/>
    </xf>
    <xf numFmtId="3" fontId="25" fillId="16" borderId="52" xfId="0" applyNumberFormat="1" applyFont="1" applyFill="1" applyBorder="1" applyAlignment="1">
      <alignment horizontal="center" vertical="top" wrapText="1"/>
    </xf>
    <xf numFmtId="3" fontId="18" fillId="16" borderId="56" xfId="0" applyNumberFormat="1" applyFont="1" applyFill="1" applyBorder="1" applyAlignment="1">
      <alignment horizontal="center" vertical="top" wrapText="1"/>
    </xf>
    <xf numFmtId="4" fontId="49" fillId="2" borderId="52" xfId="7" applyNumberFormat="1" applyFont="1" applyFill="1" applyBorder="1" applyAlignment="1">
      <alignment vertical="center" wrapText="1"/>
    </xf>
    <xf numFmtId="4" fontId="49" fillId="2" borderId="56" xfId="7" applyNumberFormat="1" applyFont="1" applyFill="1" applyBorder="1" applyAlignment="1">
      <alignment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38" xfId="0" applyFont="1" applyBorder="1" applyAlignment="1">
      <alignment horizontal="center" vertical="center"/>
    </xf>
    <xf numFmtId="0" fontId="2" fillId="20" borderId="0" xfId="0" applyFont="1" applyFill="1" applyAlignment="1">
      <alignment horizontal="center" vertical="top" wrapText="1"/>
    </xf>
    <xf numFmtId="0" fontId="16" fillId="0" borderId="1" xfId="0" applyFont="1" applyBorder="1" applyAlignment="1">
      <alignment horizontal="center" vertical="center"/>
    </xf>
    <xf numFmtId="0" fontId="58" fillId="0" borderId="1" xfId="0" applyNumberFormat="1" applyFont="1" applyBorder="1" applyAlignment="1">
      <alignment horizontal="center" vertical="center" wrapText="1"/>
    </xf>
    <xf numFmtId="0" fontId="58" fillId="0" borderId="1" xfId="0" applyNumberFormat="1" applyFont="1" applyBorder="1" applyAlignment="1" applyProtection="1">
      <alignment horizontal="center" vertical="center"/>
      <protection locked="0"/>
    </xf>
    <xf numFmtId="0" fontId="58" fillId="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10" fontId="32" fillId="8" borderId="11" xfId="7" applyNumberFormat="1" applyFont="1" applyFill="1" applyBorder="1" applyAlignment="1">
      <alignment horizontal="center" vertical="center"/>
    </xf>
    <xf numFmtId="10" fontId="32" fillId="8" borderId="5" xfId="7" applyNumberFormat="1" applyFont="1" applyFill="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5" xfId="0" applyFont="1" applyBorder="1" applyAlignment="1">
      <alignment horizontal="justify" vertical="center" wrapText="1"/>
    </xf>
    <xf numFmtId="0" fontId="0" fillId="0" borderId="34" xfId="0" applyBorder="1" applyAlignment="1">
      <alignment vertical="center" wrapText="1"/>
    </xf>
    <xf numFmtId="0" fontId="0" fillId="0" borderId="33" xfId="0" applyBorder="1" applyAlignment="1">
      <alignment vertical="center" wrapText="1"/>
    </xf>
    <xf numFmtId="0" fontId="28" fillId="0" borderId="32"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20" xfId="0" applyFont="1" applyBorder="1" applyAlignment="1">
      <alignment horizontal="justify" vertical="center" wrapText="1"/>
    </xf>
    <xf numFmtId="0" fontId="28" fillId="0" borderId="39" xfId="0" applyFont="1" applyBorder="1" applyAlignment="1">
      <alignment horizontal="justify" vertical="center" wrapText="1"/>
    </xf>
    <xf numFmtId="0" fontId="28" fillId="0" borderId="40"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44" xfId="0" applyFont="1" applyBorder="1" applyAlignment="1">
      <alignment horizontal="justify" vertical="center" wrapText="1"/>
    </xf>
    <xf numFmtId="0" fontId="28" fillId="0" borderId="13" xfId="0" applyFont="1" applyBorder="1" applyAlignment="1">
      <alignment horizontal="justify" vertical="center" wrapText="1"/>
    </xf>
    <xf numFmtId="0" fontId="28" fillId="0" borderId="38"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46" xfId="0" applyFont="1" applyBorder="1" applyAlignment="1">
      <alignment horizontal="justify" vertical="center" wrapText="1"/>
    </xf>
    <xf numFmtId="0" fontId="7" fillId="6" borderId="20" xfId="2" applyFont="1" applyFill="1" applyBorder="1" applyAlignment="1">
      <alignment horizontal="center" vertical="top" wrapText="1"/>
    </xf>
    <xf numFmtId="0" fontId="7" fillId="6" borderId="0" xfId="2" applyFont="1" applyFill="1" applyBorder="1" applyAlignment="1">
      <alignment horizontal="center" vertical="top" wrapText="1"/>
    </xf>
    <xf numFmtId="0" fontId="7" fillId="6" borderId="21" xfId="2" applyFont="1" applyFill="1" applyBorder="1" applyAlignment="1">
      <alignment horizontal="center" vertical="top" wrapText="1"/>
    </xf>
    <xf numFmtId="0" fontId="7" fillId="3" borderId="13" xfId="2" applyFont="1" applyFill="1" applyBorder="1" applyAlignment="1">
      <alignment horizontal="center" wrapText="1"/>
    </xf>
    <xf numFmtId="0" fontId="7" fillId="3" borderId="14" xfId="2" applyFont="1" applyFill="1" applyBorder="1" applyAlignment="1">
      <alignment horizontal="center" wrapText="1"/>
    </xf>
    <xf numFmtId="0" fontId="7" fillId="3" borderId="15" xfId="2" applyFont="1" applyFill="1" applyBorder="1" applyAlignment="1">
      <alignment horizontal="center" wrapText="1"/>
    </xf>
    <xf numFmtId="0" fontId="7" fillId="4" borderId="13" xfId="2" applyFont="1" applyFill="1" applyBorder="1" applyAlignment="1">
      <alignment horizontal="center"/>
    </xf>
    <xf numFmtId="0" fontId="7" fillId="4" borderId="14" xfId="2" applyFont="1" applyFill="1" applyBorder="1" applyAlignment="1">
      <alignment horizontal="center"/>
    </xf>
    <xf numFmtId="0" fontId="7" fillId="4" borderId="15" xfId="2" applyFont="1" applyFill="1" applyBorder="1" applyAlignment="1">
      <alignment horizontal="center"/>
    </xf>
    <xf numFmtId="0" fontId="7" fillId="6" borderId="1" xfId="2" applyFont="1" applyFill="1" applyBorder="1" applyAlignment="1">
      <alignment horizontal="center" vertical="center" wrapText="1"/>
    </xf>
    <xf numFmtId="0" fontId="7" fillId="6" borderId="17"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7" fillId="6" borderId="19" xfId="2" applyFont="1" applyFill="1" applyBorder="1" applyAlignment="1">
      <alignment horizontal="center" vertical="center" wrapText="1"/>
    </xf>
    <xf numFmtId="0" fontId="20" fillId="15" borderId="2" xfId="0" applyFont="1" applyFill="1" applyBorder="1" applyAlignment="1">
      <alignment horizontal="center" vertical="center" wrapText="1"/>
    </xf>
    <xf numFmtId="0" fontId="20" fillId="15" borderId="4" xfId="0" applyFont="1" applyFill="1" applyBorder="1" applyAlignment="1">
      <alignment horizontal="center" vertical="center" wrapText="1"/>
    </xf>
    <xf numFmtId="0" fontId="20" fillId="15" borderId="2" xfId="0" applyFont="1" applyFill="1" applyBorder="1" applyAlignment="1">
      <alignment horizontal="left" vertical="center" wrapText="1"/>
    </xf>
    <xf numFmtId="0" fontId="20" fillId="15" borderId="4" xfId="0" applyFont="1" applyFill="1" applyBorder="1" applyAlignment="1">
      <alignment horizontal="left" vertical="center" wrapText="1"/>
    </xf>
    <xf numFmtId="3" fontId="20" fillId="17" borderId="11" xfId="0" applyNumberFormat="1" applyFont="1" applyFill="1" applyBorder="1" applyAlignment="1">
      <alignment horizontal="center"/>
    </xf>
    <xf numFmtId="3" fontId="20" fillId="17" borderId="58" xfId="0" applyNumberFormat="1" applyFont="1" applyFill="1" applyBorder="1" applyAlignment="1">
      <alignment horizontal="center"/>
    </xf>
    <xf numFmtId="3" fontId="20" fillId="17" borderId="5" xfId="0" applyNumberFormat="1" applyFont="1" applyFill="1" applyBorder="1" applyAlignment="1">
      <alignment horizontal="center"/>
    </xf>
    <xf numFmtId="3" fontId="20" fillId="17" borderId="11" xfId="0" applyNumberFormat="1" applyFont="1" applyFill="1" applyBorder="1" applyAlignment="1">
      <alignment horizontal="center" wrapText="1"/>
    </xf>
    <xf numFmtId="3" fontId="20" fillId="17" borderId="58" xfId="0" applyNumberFormat="1" applyFont="1" applyFill="1" applyBorder="1" applyAlignment="1">
      <alignment horizontal="center" wrapText="1"/>
    </xf>
    <xf numFmtId="3" fontId="20" fillId="17" borderId="5" xfId="0" applyNumberFormat="1" applyFont="1" applyFill="1" applyBorder="1" applyAlignment="1">
      <alignment horizont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0"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1"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center" vertical="top" wrapText="1"/>
    </xf>
    <xf numFmtId="0" fontId="1" fillId="0" borderId="30" xfId="0" applyFont="1" applyBorder="1" applyAlignment="1">
      <alignment horizontal="center" vertical="top" wrapText="1"/>
    </xf>
    <xf numFmtId="0" fontId="1" fillId="0" borderId="0" xfId="0" applyFont="1" applyBorder="1" applyAlignment="1">
      <alignment horizontal="center" vertical="top" wrapText="1"/>
    </xf>
    <xf numFmtId="0" fontId="1" fillId="0" borderId="29" xfId="0" applyFont="1" applyBorder="1" applyAlignment="1">
      <alignment horizontal="center" vertical="top" wrapText="1"/>
    </xf>
    <xf numFmtId="0" fontId="3" fillId="0" borderId="30" xfId="0" applyFont="1" applyBorder="1" applyAlignment="1">
      <alignment horizontal="center" vertical="top" wrapText="1"/>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7" xfId="0" applyFont="1" applyBorder="1" applyAlignment="1">
      <alignment horizontal="center" vertical="top" wrapText="1"/>
    </xf>
    <xf numFmtId="0" fontId="1" fillId="0" borderId="10"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xf numFmtId="0" fontId="3" fillId="0" borderId="1" xfId="0" applyFont="1" applyBorder="1" applyAlignment="1">
      <alignment horizontal="left" vertical="top" wrapText="1"/>
    </xf>
  </cellXfs>
  <cellStyles count="12">
    <cellStyle name="Comma" xfId="1" builtinId="3"/>
    <cellStyle name="Comma 2" xfId="4"/>
    <cellStyle name="Comma 2 2" xfId="9"/>
    <cellStyle name="Comma 3" xfId="5"/>
    <cellStyle name="Comma 3 2" xfId="10"/>
    <cellStyle name="Comma 4" xfId="8"/>
    <cellStyle name="Normal" xfId="0" builtinId="0"/>
    <cellStyle name="Normal 2" xfId="2"/>
    <cellStyle name="Normal 3" xfId="6"/>
    <cellStyle name="Normal 4" xfId="11"/>
    <cellStyle name="Percent" xfId="7" builtinId="5"/>
    <cellStyle name="Percent 2" xfId="3"/>
  </cellStyles>
  <dxfs count="0"/>
  <tableStyles count="0" defaultTableStyle="TableStyleMedium2" defaultPivotStyle="PivotStyleLight16"/>
  <colors>
    <mruColors>
      <color rgb="FFCCCCFF"/>
      <color rgb="FFCCE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127000</xdr:rowOff>
    </xdr:from>
    <xdr:to>
      <xdr:col>0</xdr:col>
      <xdr:colOff>2768621</xdr:colOff>
      <xdr:row>1</xdr:row>
      <xdr:rowOff>593661</xdr:rowOff>
    </xdr:to>
    <xdr:sp macro="" textlink="">
      <xdr:nvSpPr>
        <xdr:cNvPr id="2" name="B43B9E99-EEEB-43E0-84A8-B82E90D6F7D8">
          <a:extLst>
            <a:ext uri="{FF2B5EF4-FFF2-40B4-BE49-F238E27FC236}">
              <a16:creationId xmlns:a16="http://schemas.microsoft.com/office/drawing/2014/main" id="{00000000-0008-0000-0300-000002000000}"/>
            </a:ext>
          </a:extLst>
        </xdr:cNvPr>
        <xdr:cNvSpPr txBox="1"/>
      </xdr:nvSpPr>
      <xdr:spPr>
        <a:xfrm>
          <a:off x="127000" y="127000"/>
          <a:ext cx="2641621" cy="67621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63500" tIns="63500" rIns="63500" bIns="63500" rtlCol="0" anchor="t">
          <a:spAutoFit/>
        </a:bodyPr>
        <a:lstStyle/>
        <a:p>
          <a:r>
            <a:rPr lang="en-US" sz="1300" b="1"/>
            <a:t>3D Maps Tours
</a:t>
          </a:r>
          <a:r>
            <a:rPr lang="en-US" sz="1100"/>
            <a:t>This workbook has 3D Maps tours available.
Open 3D Maps to edit or play the tours.</a:t>
          </a:r>
          <a:endParaRPr lang="bg-BG"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1.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printerSettings" Target="../printerSettings/printerSettings91.bin"/><Relationship Id="rId18" Type="http://schemas.openxmlformats.org/officeDocument/2006/relationships/printerSettings" Target="../printerSettings/printerSettings9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17" Type="http://schemas.openxmlformats.org/officeDocument/2006/relationships/printerSettings" Target="../printerSettings/printerSettings95.bin"/><Relationship Id="rId2" Type="http://schemas.openxmlformats.org/officeDocument/2006/relationships/printerSettings" Target="../printerSettings/printerSettings80.bin"/><Relationship Id="rId16" Type="http://schemas.openxmlformats.org/officeDocument/2006/relationships/printerSettings" Target="../printerSettings/printerSettings94.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5" Type="http://schemas.openxmlformats.org/officeDocument/2006/relationships/printerSettings" Target="../printerSettings/printerSettings9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18" Type="http://schemas.openxmlformats.org/officeDocument/2006/relationships/printerSettings" Target="../printerSettings/printerSettings11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17" Type="http://schemas.openxmlformats.org/officeDocument/2006/relationships/printerSettings" Target="../printerSettings/printerSettings113.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20" Type="http://schemas.openxmlformats.org/officeDocument/2006/relationships/printerSettings" Target="../printerSettings/printerSettings116.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19" Type="http://schemas.openxmlformats.org/officeDocument/2006/relationships/printerSettings" Target="../printerSettings/printerSettings115.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18" Type="http://schemas.openxmlformats.org/officeDocument/2006/relationships/printerSettings" Target="../printerSettings/printerSettings134.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17" Type="http://schemas.openxmlformats.org/officeDocument/2006/relationships/printerSettings" Target="../printerSettings/printerSettings133.bin"/><Relationship Id="rId2" Type="http://schemas.openxmlformats.org/officeDocument/2006/relationships/printerSettings" Target="../printerSettings/printerSettings118.bin"/><Relationship Id="rId16" Type="http://schemas.openxmlformats.org/officeDocument/2006/relationships/printerSettings" Target="../printerSettings/printerSettings132.bin"/><Relationship Id="rId20" Type="http://schemas.openxmlformats.org/officeDocument/2006/relationships/printerSettings" Target="../printerSettings/printerSettings136.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5" Type="http://schemas.openxmlformats.org/officeDocument/2006/relationships/printerSettings" Target="../printerSettings/printerSettings131.bin"/><Relationship Id="rId10" Type="http://schemas.openxmlformats.org/officeDocument/2006/relationships/printerSettings" Target="../printerSettings/printerSettings126.bin"/><Relationship Id="rId19" Type="http://schemas.openxmlformats.org/officeDocument/2006/relationships/printerSettings" Target="../printerSettings/printerSettings135.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 Id="rId14" Type="http://schemas.openxmlformats.org/officeDocument/2006/relationships/printerSettings" Target="../printerSettings/printerSettings13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4.bin"/><Relationship Id="rId13" Type="http://schemas.openxmlformats.org/officeDocument/2006/relationships/printerSettings" Target="../printerSettings/printerSettings149.bin"/><Relationship Id="rId18" Type="http://schemas.openxmlformats.org/officeDocument/2006/relationships/printerSettings" Target="../printerSettings/printerSettings15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12" Type="http://schemas.openxmlformats.org/officeDocument/2006/relationships/printerSettings" Target="../printerSettings/printerSettings148.bin"/><Relationship Id="rId17" Type="http://schemas.openxmlformats.org/officeDocument/2006/relationships/printerSettings" Target="../printerSettings/printerSettings153.bin"/><Relationship Id="rId2" Type="http://schemas.openxmlformats.org/officeDocument/2006/relationships/printerSettings" Target="../printerSettings/printerSettings138.bin"/><Relationship Id="rId16" Type="http://schemas.openxmlformats.org/officeDocument/2006/relationships/printerSettings" Target="../printerSettings/printerSettings152.bin"/><Relationship Id="rId20" Type="http://schemas.openxmlformats.org/officeDocument/2006/relationships/printerSettings" Target="../printerSettings/printerSettings156.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11" Type="http://schemas.openxmlformats.org/officeDocument/2006/relationships/printerSettings" Target="../printerSettings/printerSettings147.bin"/><Relationship Id="rId5" Type="http://schemas.openxmlformats.org/officeDocument/2006/relationships/printerSettings" Target="../printerSettings/printerSettings141.bin"/><Relationship Id="rId15" Type="http://schemas.openxmlformats.org/officeDocument/2006/relationships/printerSettings" Target="../printerSettings/printerSettings151.bin"/><Relationship Id="rId10" Type="http://schemas.openxmlformats.org/officeDocument/2006/relationships/printerSettings" Target="../printerSettings/printerSettings146.bin"/><Relationship Id="rId19" Type="http://schemas.openxmlformats.org/officeDocument/2006/relationships/printerSettings" Target="../printerSettings/printerSettings155.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 Id="rId14" Type="http://schemas.openxmlformats.org/officeDocument/2006/relationships/printerSettings" Target="../printerSettings/printerSettings15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4.bin"/><Relationship Id="rId13" Type="http://schemas.openxmlformats.org/officeDocument/2006/relationships/printerSettings" Target="../printerSettings/printerSettings169.bin"/><Relationship Id="rId18" Type="http://schemas.openxmlformats.org/officeDocument/2006/relationships/printerSettings" Target="../printerSettings/printerSettings174.bin"/><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12" Type="http://schemas.openxmlformats.org/officeDocument/2006/relationships/printerSettings" Target="../printerSettings/printerSettings168.bin"/><Relationship Id="rId17" Type="http://schemas.openxmlformats.org/officeDocument/2006/relationships/printerSettings" Target="../printerSettings/printerSettings173.bin"/><Relationship Id="rId2" Type="http://schemas.openxmlformats.org/officeDocument/2006/relationships/printerSettings" Target="../printerSettings/printerSettings158.bin"/><Relationship Id="rId16" Type="http://schemas.openxmlformats.org/officeDocument/2006/relationships/printerSettings" Target="../printerSettings/printerSettings172.bin"/><Relationship Id="rId20" Type="http://schemas.openxmlformats.org/officeDocument/2006/relationships/printerSettings" Target="../printerSettings/printerSettings176.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11" Type="http://schemas.openxmlformats.org/officeDocument/2006/relationships/printerSettings" Target="../printerSettings/printerSettings167.bin"/><Relationship Id="rId5" Type="http://schemas.openxmlformats.org/officeDocument/2006/relationships/printerSettings" Target="../printerSettings/printerSettings161.bin"/><Relationship Id="rId15" Type="http://schemas.openxmlformats.org/officeDocument/2006/relationships/printerSettings" Target="../printerSettings/printerSettings171.bin"/><Relationship Id="rId10" Type="http://schemas.openxmlformats.org/officeDocument/2006/relationships/printerSettings" Target="../printerSettings/printerSettings166.bin"/><Relationship Id="rId19" Type="http://schemas.openxmlformats.org/officeDocument/2006/relationships/printerSettings" Target="../printerSettings/printerSettings175.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 Id="rId14" Type="http://schemas.openxmlformats.org/officeDocument/2006/relationships/printerSettings" Target="../printerSettings/printerSettings1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zoomScaleNormal="100" workbookViewId="0">
      <selection activeCell="I12" sqref="I12:K12"/>
    </sheetView>
  </sheetViews>
  <sheetFormatPr defaultColWidth="8.7109375" defaultRowHeight="15" x14ac:dyDescent="0.25"/>
  <cols>
    <col min="1" max="1" width="6.7109375" style="127" customWidth="1"/>
    <col min="2" max="2" width="9.28515625" style="127" customWidth="1"/>
    <col min="3" max="3" width="6.42578125" style="127" customWidth="1"/>
    <col min="4" max="13" width="15.5703125" style="127" customWidth="1"/>
    <col min="14" max="14" width="14.7109375" style="127" bestFit="1" customWidth="1"/>
    <col min="15" max="15" width="16.42578125" style="127" customWidth="1"/>
    <col min="16" max="16" width="8" style="127" bestFit="1" customWidth="1"/>
    <col min="17" max="17" width="10" style="127" bestFit="1" customWidth="1"/>
    <col min="18" max="18" width="9.28515625" style="127" bestFit="1" customWidth="1"/>
    <col min="19" max="19" width="10" style="127" bestFit="1" customWidth="1"/>
    <col min="20" max="20" width="9.28515625" style="127" bestFit="1" customWidth="1"/>
    <col min="21" max="16384" width="8.7109375" style="127"/>
  </cols>
  <sheetData>
    <row r="1" spans="1:15" ht="18.75" x14ac:dyDescent="0.3">
      <c r="F1" s="313" t="s">
        <v>374</v>
      </c>
    </row>
    <row r="2" spans="1:15" ht="15.75" thickBot="1" x14ac:dyDescent="0.3">
      <c r="A2" s="127" t="s">
        <v>0</v>
      </c>
      <c r="K2" s="187"/>
      <c r="L2" s="188" t="s">
        <v>1</v>
      </c>
      <c r="M2" s="187"/>
    </row>
    <row r="3" spans="1:15" ht="17.25" thickBot="1" x14ac:dyDescent="0.3">
      <c r="A3" s="420" t="s">
        <v>2</v>
      </c>
      <c r="B3" s="421"/>
      <c r="C3" s="421"/>
      <c r="D3" s="421"/>
      <c r="E3" s="421"/>
      <c r="F3" s="421"/>
      <c r="G3" s="421"/>
      <c r="H3" s="421"/>
      <c r="I3" s="421"/>
      <c r="J3" s="421"/>
      <c r="K3" s="421"/>
      <c r="L3" s="422"/>
    </row>
    <row r="4" spans="1:15" ht="43.5" thickBot="1" x14ac:dyDescent="0.3">
      <c r="A4" s="175" t="s">
        <v>3</v>
      </c>
      <c r="B4" s="176" t="s">
        <v>4</v>
      </c>
      <c r="C4" s="177">
        <v>2021</v>
      </c>
      <c r="D4" s="178">
        <v>2022</v>
      </c>
      <c r="E4" s="178">
        <v>2023</v>
      </c>
      <c r="F4" s="179">
        <v>2024</v>
      </c>
      <c r="G4" s="179">
        <v>2025</v>
      </c>
      <c r="H4" s="180">
        <v>2026</v>
      </c>
      <c r="I4" s="179"/>
      <c r="J4" s="181">
        <v>2027</v>
      </c>
      <c r="K4" s="181"/>
      <c r="L4" s="179" t="s">
        <v>5</v>
      </c>
      <c r="M4" s="198"/>
      <c r="O4" s="128"/>
    </row>
    <row r="5" spans="1:15" ht="42.75" thickBot="1" x14ac:dyDescent="0.3">
      <c r="A5" s="182"/>
      <c r="B5" s="170"/>
      <c r="C5" s="171"/>
      <c r="D5" s="172"/>
      <c r="E5" s="172"/>
      <c r="F5" s="173"/>
      <c r="G5" s="173"/>
      <c r="H5" s="197" t="s">
        <v>6</v>
      </c>
      <c r="I5" s="197" t="s">
        <v>7</v>
      </c>
      <c r="J5" s="197" t="s">
        <v>8</v>
      </c>
      <c r="K5" s="197" t="s">
        <v>9</v>
      </c>
      <c r="L5" s="173"/>
      <c r="M5" s="198"/>
      <c r="O5" s="128"/>
    </row>
    <row r="6" spans="1:15" ht="39" thickBot="1" x14ac:dyDescent="0.3">
      <c r="A6" s="183" t="s">
        <v>10</v>
      </c>
      <c r="B6" s="174" t="s">
        <v>13</v>
      </c>
      <c r="C6" s="146"/>
      <c r="D6" s="140"/>
      <c r="E6" s="140"/>
      <c r="F6" s="140"/>
      <c r="G6" s="140"/>
      <c r="H6" s="140"/>
      <c r="I6" s="140"/>
      <c r="J6" s="140"/>
      <c r="K6" s="140"/>
      <c r="L6" s="195">
        <f>SUM(C6:J6)</f>
        <v>0</v>
      </c>
      <c r="M6" s="199"/>
      <c r="N6" s="228" t="s">
        <v>297</v>
      </c>
      <c r="O6" s="128"/>
    </row>
    <row r="7" spans="1:15" ht="15.75" thickBot="1" x14ac:dyDescent="0.3">
      <c r="A7" s="184"/>
      <c r="B7" s="174" t="s">
        <v>14</v>
      </c>
      <c r="C7" s="146"/>
      <c r="D7" s="140">
        <v>2268477</v>
      </c>
      <c r="E7" s="140">
        <v>2340588</v>
      </c>
      <c r="F7" s="140">
        <v>2421490</v>
      </c>
      <c r="G7" s="140">
        <v>2501966</v>
      </c>
      <c r="H7" s="140">
        <v>1071729</v>
      </c>
      <c r="I7" s="226">
        <v>1071729</v>
      </c>
      <c r="J7" s="140">
        <v>1112517</v>
      </c>
      <c r="K7" s="226">
        <v>1112517</v>
      </c>
      <c r="L7" s="195">
        <f>SUM(C7:K7)</f>
        <v>13901013</v>
      </c>
      <c r="M7" s="128">
        <f>+L7-I7-K7</f>
        <v>11716767</v>
      </c>
      <c r="N7" s="229">
        <f>+I7+K7</f>
        <v>2184246</v>
      </c>
      <c r="O7" s="128">
        <f>+L7-N7</f>
        <v>11716767</v>
      </c>
    </row>
    <row r="8" spans="1:15" ht="39" thickBot="1" x14ac:dyDescent="0.3">
      <c r="A8" s="184"/>
      <c r="B8" s="174" t="s">
        <v>11</v>
      </c>
      <c r="C8" s="146" t="s">
        <v>12</v>
      </c>
      <c r="D8" s="140">
        <v>12643748</v>
      </c>
      <c r="E8" s="140">
        <v>14854805</v>
      </c>
      <c r="F8" s="140">
        <v>15360084</v>
      </c>
      <c r="G8" s="140">
        <v>15862144</v>
      </c>
      <c r="H8" s="140">
        <v>6787559</v>
      </c>
      <c r="I8" s="226">
        <v>6787559</v>
      </c>
      <c r="J8" s="140">
        <v>7041294</v>
      </c>
      <c r="K8" s="226">
        <v>7041294</v>
      </c>
      <c r="L8" s="195">
        <f>SUM(C8:K8)</f>
        <v>86378487</v>
      </c>
      <c r="M8" s="128">
        <f>+L8-I8-K8</f>
        <v>72549634</v>
      </c>
      <c r="N8" s="229">
        <f>+I8+K8</f>
        <v>13828853</v>
      </c>
      <c r="O8" s="128">
        <f>+L8-N8</f>
        <v>72549634</v>
      </c>
    </row>
    <row r="9" spans="1:15" ht="16.5" thickBot="1" x14ac:dyDescent="0.3">
      <c r="A9" s="185" t="s">
        <v>15</v>
      </c>
      <c r="B9" s="186"/>
      <c r="C9" s="189" t="s">
        <v>16</v>
      </c>
      <c r="D9" s="190">
        <f>+D7+D8</f>
        <v>14912225</v>
      </c>
      <c r="E9" s="190">
        <f t="shared" ref="E9:K9" si="0">+E7+E8</f>
        <v>17195393</v>
      </c>
      <c r="F9" s="190">
        <f t="shared" si="0"/>
        <v>17781574</v>
      </c>
      <c r="G9" s="190">
        <f t="shared" si="0"/>
        <v>18364110</v>
      </c>
      <c r="H9" s="190">
        <f t="shared" si="0"/>
        <v>7859288</v>
      </c>
      <c r="I9" s="227">
        <f t="shared" si="0"/>
        <v>7859288</v>
      </c>
      <c r="J9" s="190">
        <f t="shared" si="0"/>
        <v>8153811</v>
      </c>
      <c r="K9" s="190">
        <f t="shared" si="0"/>
        <v>8153811</v>
      </c>
      <c r="L9" s="205">
        <f>SUM(C9:K9)</f>
        <v>100279500</v>
      </c>
      <c r="M9" s="200"/>
      <c r="N9" s="312">
        <f>SUM(N7:N8)</f>
        <v>16013099</v>
      </c>
    </row>
    <row r="10" spans="1:15" x14ac:dyDescent="0.25">
      <c r="D10" s="312">
        <f>SUM(D9:G9)</f>
        <v>68253302</v>
      </c>
      <c r="L10" s="375">
        <f>+L9/L15*1.95583</f>
        <v>237594893.38219988</v>
      </c>
    </row>
    <row r="11" spans="1:15" x14ac:dyDescent="0.25">
      <c r="E11" s="191"/>
      <c r="F11" s="191"/>
      <c r="G11" s="191"/>
      <c r="H11" s="191"/>
      <c r="I11" s="191"/>
      <c r="J11" s="191"/>
      <c r="K11" s="191"/>
    </row>
    <row r="12" spans="1:15" ht="113.25" customHeight="1" x14ac:dyDescent="0.25">
      <c r="I12" s="423" t="s">
        <v>295</v>
      </c>
      <c r="J12" s="423"/>
      <c r="K12" s="423"/>
    </row>
    <row r="15" spans="1:15" x14ac:dyDescent="0.25">
      <c r="L15" s="127">
        <v>0.82547925038734704</v>
      </c>
    </row>
    <row r="16" spans="1:15" ht="33" customHeight="1" x14ac:dyDescent="0.25">
      <c r="A16" s="424" t="s">
        <v>478</v>
      </c>
      <c r="B16" s="424"/>
      <c r="C16" s="424"/>
      <c r="D16" s="424"/>
      <c r="E16" s="424"/>
      <c r="F16" s="424"/>
      <c r="G16" s="424"/>
      <c r="H16" s="424"/>
      <c r="I16" s="424"/>
      <c r="J16" s="424"/>
      <c r="K16" s="424"/>
      <c r="L16" s="424"/>
    </row>
    <row r="17" spans="1:15" ht="15.75" x14ac:dyDescent="0.25">
      <c r="A17" s="428" t="s">
        <v>483</v>
      </c>
      <c r="B17" s="428" t="s">
        <v>484</v>
      </c>
      <c r="C17" s="428">
        <v>2021</v>
      </c>
      <c r="D17" s="427">
        <v>2022</v>
      </c>
      <c r="E17" s="427">
        <v>2023</v>
      </c>
      <c r="F17" s="425">
        <v>2024</v>
      </c>
      <c r="G17" s="425">
        <v>2025</v>
      </c>
      <c r="H17" s="425">
        <v>2026</v>
      </c>
      <c r="I17" s="425"/>
      <c r="J17" s="426">
        <v>2027</v>
      </c>
      <c r="K17" s="426"/>
      <c r="L17" s="425" t="s">
        <v>459</v>
      </c>
      <c r="M17" s="198"/>
      <c r="O17" s="128"/>
    </row>
    <row r="18" spans="1:15" ht="58.5" customHeight="1" x14ac:dyDescent="0.25">
      <c r="A18" s="428"/>
      <c r="B18" s="428"/>
      <c r="C18" s="428"/>
      <c r="D18" s="427"/>
      <c r="E18" s="427"/>
      <c r="F18" s="425"/>
      <c r="G18" s="425"/>
      <c r="H18" s="379" t="s">
        <v>477</v>
      </c>
      <c r="I18" s="379" t="s">
        <v>467</v>
      </c>
      <c r="J18" s="379" t="s">
        <v>477</v>
      </c>
      <c r="K18" s="379" t="s">
        <v>467</v>
      </c>
      <c r="L18" s="425"/>
      <c r="M18" s="198"/>
      <c r="O18" s="128"/>
    </row>
    <row r="19" spans="1:15" ht="25.5" customHeight="1" x14ac:dyDescent="0.25">
      <c r="A19" s="380" t="s">
        <v>479</v>
      </c>
      <c r="B19" s="380" t="s">
        <v>485</v>
      </c>
      <c r="C19" s="381">
        <v>0</v>
      </c>
      <c r="D19" s="382">
        <v>2268477</v>
      </c>
      <c r="E19" s="382">
        <v>2340588</v>
      </c>
      <c r="F19" s="382">
        <v>2421490</v>
      </c>
      <c r="G19" s="382">
        <v>2501966</v>
      </c>
      <c r="H19" s="382">
        <v>1071729</v>
      </c>
      <c r="I19" s="383">
        <v>1071729</v>
      </c>
      <c r="J19" s="382">
        <v>1112517</v>
      </c>
      <c r="K19" s="383">
        <v>1112517</v>
      </c>
      <c r="L19" s="384">
        <f>SUM(C19:K19)</f>
        <v>13901013</v>
      </c>
      <c r="M19" s="198"/>
      <c r="O19" s="128"/>
    </row>
    <row r="20" spans="1:15" ht="50.25" customHeight="1" x14ac:dyDescent="0.25">
      <c r="A20" s="380" t="s">
        <v>479</v>
      </c>
      <c r="B20" s="380" t="s">
        <v>289</v>
      </c>
      <c r="C20" s="381">
        <v>0</v>
      </c>
      <c r="D20" s="382">
        <v>12643748</v>
      </c>
      <c r="E20" s="382">
        <v>14854805</v>
      </c>
      <c r="F20" s="382">
        <v>15360084</v>
      </c>
      <c r="G20" s="382">
        <v>15862144</v>
      </c>
      <c r="H20" s="382">
        <v>6787559</v>
      </c>
      <c r="I20" s="383">
        <v>6787559</v>
      </c>
      <c r="J20" s="382">
        <v>7041294</v>
      </c>
      <c r="K20" s="383">
        <v>7041294</v>
      </c>
      <c r="L20" s="384">
        <f>SUM(C20:K20)</f>
        <v>86378487</v>
      </c>
      <c r="M20" s="198"/>
      <c r="O20" s="128"/>
    </row>
    <row r="21" spans="1:15" ht="26.25" customHeight="1" x14ac:dyDescent="0.25">
      <c r="A21" s="385" t="s">
        <v>480</v>
      </c>
      <c r="B21" s="380"/>
      <c r="C21" s="386">
        <f>+C19+C20</f>
        <v>0</v>
      </c>
      <c r="D21" s="387">
        <f t="shared" ref="D21:L21" si="1">+D19+D20</f>
        <v>14912225</v>
      </c>
      <c r="E21" s="387">
        <f t="shared" si="1"/>
        <v>17195393</v>
      </c>
      <c r="F21" s="387">
        <f t="shared" si="1"/>
        <v>17781574</v>
      </c>
      <c r="G21" s="387">
        <f t="shared" si="1"/>
        <v>18364110</v>
      </c>
      <c r="H21" s="387">
        <f t="shared" si="1"/>
        <v>7859288</v>
      </c>
      <c r="I21" s="387">
        <f t="shared" si="1"/>
        <v>7859288</v>
      </c>
      <c r="J21" s="387">
        <f t="shared" si="1"/>
        <v>8153811</v>
      </c>
      <c r="K21" s="387">
        <f t="shared" si="1"/>
        <v>8153811</v>
      </c>
      <c r="L21" s="387">
        <f t="shared" si="1"/>
        <v>100279500</v>
      </c>
      <c r="M21" s="198"/>
      <c r="N21" s="128"/>
      <c r="O21" s="128"/>
    </row>
    <row r="22" spans="1:15" x14ac:dyDescent="0.25">
      <c r="J22" s="376" t="s">
        <v>482</v>
      </c>
      <c r="K22" s="377">
        <f>+I21+K21</f>
        <v>16013099</v>
      </c>
      <c r="M22" s="375"/>
    </row>
    <row r="24" spans="1:15" ht="16.5" x14ac:dyDescent="0.25">
      <c r="A24" s="424" t="s">
        <v>478</v>
      </c>
      <c r="B24" s="424"/>
      <c r="C24" s="424"/>
      <c r="D24" s="424"/>
      <c r="E24" s="424"/>
      <c r="F24" s="424"/>
      <c r="G24" s="424"/>
      <c r="H24" s="424"/>
      <c r="I24" s="424"/>
      <c r="J24" s="424"/>
      <c r="K24" s="424"/>
      <c r="L24" s="424"/>
    </row>
    <row r="25" spans="1:15" x14ac:dyDescent="0.25">
      <c r="A25" s="428" t="s">
        <v>483</v>
      </c>
      <c r="B25" s="428" t="s">
        <v>484</v>
      </c>
      <c r="C25" s="428">
        <v>2021</v>
      </c>
      <c r="D25" s="427">
        <v>2022</v>
      </c>
      <c r="E25" s="427">
        <v>2023</v>
      </c>
      <c r="F25" s="425">
        <v>2024</v>
      </c>
      <c r="G25" s="425">
        <v>2025</v>
      </c>
      <c r="H25" s="425">
        <v>2026</v>
      </c>
      <c r="I25" s="425"/>
      <c r="J25" s="426">
        <v>2027</v>
      </c>
      <c r="K25" s="426"/>
      <c r="L25" s="425" t="s">
        <v>459</v>
      </c>
    </row>
    <row r="26" spans="1:15" ht="42" x14ac:dyDescent="0.25">
      <c r="A26" s="428"/>
      <c r="B26" s="428"/>
      <c r="C26" s="428"/>
      <c r="D26" s="427"/>
      <c r="E26" s="427"/>
      <c r="F26" s="425"/>
      <c r="G26" s="425"/>
      <c r="H26" s="379" t="s">
        <v>477</v>
      </c>
      <c r="I26" s="379" t="s">
        <v>467</v>
      </c>
      <c r="J26" s="379" t="s">
        <v>477</v>
      </c>
      <c r="K26" s="379" t="s">
        <v>467</v>
      </c>
      <c r="L26" s="425"/>
    </row>
    <row r="27" spans="1:15" ht="25.5" customHeight="1" x14ac:dyDescent="0.25">
      <c r="A27" s="380" t="s">
        <v>479</v>
      </c>
      <c r="B27" s="380" t="s">
        <v>485</v>
      </c>
      <c r="C27" s="381">
        <v>0</v>
      </c>
      <c r="D27" s="382">
        <f>+D19/0.7*1.95583</f>
        <v>6338221.9584428575</v>
      </c>
      <c r="E27" s="382">
        <f t="shared" ref="E27:K27" si="2">+E19/0.7*1.95583</f>
        <v>6539703.1829142859</v>
      </c>
      <c r="F27" s="382">
        <f t="shared" si="2"/>
        <v>6765746.838142857</v>
      </c>
      <c r="G27" s="382">
        <f t="shared" si="2"/>
        <v>6990600.231114286</v>
      </c>
      <c r="H27" s="382">
        <f t="shared" si="2"/>
        <v>2994456.757242857</v>
      </c>
      <c r="I27" s="383">
        <f t="shared" si="2"/>
        <v>2994456.757242857</v>
      </c>
      <c r="J27" s="382">
        <f t="shared" si="2"/>
        <v>3108420.1773000001</v>
      </c>
      <c r="K27" s="383">
        <f t="shared" si="2"/>
        <v>3108420.1773000001</v>
      </c>
      <c r="L27" s="384">
        <f>SUM(C27:K27)</f>
        <v>38840026.079700001</v>
      </c>
    </row>
    <row r="28" spans="1:15" ht="48" customHeight="1" x14ac:dyDescent="0.25">
      <c r="A28" s="380" t="s">
        <v>479</v>
      </c>
      <c r="B28" s="380" t="s">
        <v>289</v>
      </c>
      <c r="C28" s="381">
        <v>0</v>
      </c>
      <c r="D28" s="382">
        <f>+D20/0.85*1.95583</f>
        <v>29092966.64804706</v>
      </c>
      <c r="E28" s="382">
        <f t="shared" ref="E28:K28" si="3">+E20/0.85*1.95583</f>
        <v>34180556.780176468</v>
      </c>
      <c r="F28" s="382">
        <f t="shared" si="3"/>
        <v>35343191.870258823</v>
      </c>
      <c r="G28" s="382">
        <f t="shared" si="3"/>
        <v>36498420.11708235</v>
      </c>
      <c r="H28" s="382">
        <f t="shared" si="3"/>
        <v>15618013.551729411</v>
      </c>
      <c r="I28" s="383">
        <f t="shared" si="3"/>
        <v>15618013.551729411</v>
      </c>
      <c r="J28" s="382">
        <f t="shared" si="3"/>
        <v>16201851.816494118</v>
      </c>
      <c r="K28" s="383">
        <f t="shared" si="3"/>
        <v>16201851.816494118</v>
      </c>
      <c r="L28" s="384">
        <f>SUM(C28:K28)+1</f>
        <v>198754867.15201175</v>
      </c>
    </row>
    <row r="29" spans="1:15" ht="22.5" customHeight="1" x14ac:dyDescent="0.25">
      <c r="A29" s="385" t="s">
        <v>480</v>
      </c>
      <c r="B29" s="380"/>
      <c r="C29" s="386">
        <f>+C27+C28</f>
        <v>0</v>
      </c>
      <c r="D29" s="387">
        <f t="shared" ref="D29" si="4">+D27+D28</f>
        <v>35431188.606489919</v>
      </c>
      <c r="E29" s="387">
        <f t="shared" ref="E29" si="5">+E27+E28</f>
        <v>40720259.963090755</v>
      </c>
      <c r="F29" s="387">
        <f t="shared" ref="F29" si="6">+F27+F28</f>
        <v>42108938.70840168</v>
      </c>
      <c r="G29" s="387">
        <f t="shared" ref="G29" si="7">+G27+G28</f>
        <v>43489020.348196633</v>
      </c>
      <c r="H29" s="387">
        <f t="shared" ref="H29" si="8">+H27+H28</f>
        <v>18612470.308972269</v>
      </c>
      <c r="I29" s="387">
        <f t="shared" ref="I29" si="9">+I27+I28</f>
        <v>18612470.308972269</v>
      </c>
      <c r="J29" s="387">
        <f t="shared" ref="J29" si="10">+J27+J28</f>
        <v>19310271.993794117</v>
      </c>
      <c r="K29" s="387">
        <f t="shared" ref="K29:L29" si="11">+K27+K28</f>
        <v>19310271.993794117</v>
      </c>
      <c r="L29" s="387">
        <f t="shared" si="11"/>
        <v>237594893.23171175</v>
      </c>
    </row>
    <row r="30" spans="1:15" ht="22.5" customHeight="1" x14ac:dyDescent="0.25">
      <c r="A30" s="388" t="s">
        <v>481</v>
      </c>
      <c r="B30" s="389"/>
      <c r="C30" s="389"/>
      <c r="D30" s="390">
        <f>+D29/$L$29</f>
        <v>0.1491243693185613</v>
      </c>
      <c r="E30" s="390">
        <f>+E29/$L$29</f>
        <v>0.17138524910709582</v>
      </c>
      <c r="F30" s="390">
        <f>+F29/$L$29</f>
        <v>0.17722998224265457</v>
      </c>
      <c r="G30" s="390">
        <f>+G29/$L$29</f>
        <v>0.18303853149648489</v>
      </c>
      <c r="H30" s="429">
        <f>+(H29+I29)/$L$29</f>
        <v>0.15667399291129264</v>
      </c>
      <c r="I30" s="430"/>
      <c r="J30" s="429">
        <f>+(J29+K29)/$L$29</f>
        <v>0.16254787071506618</v>
      </c>
      <c r="K30" s="430"/>
      <c r="L30" s="390">
        <f>+L29/$L$29</f>
        <v>1</v>
      </c>
    </row>
    <row r="31" spans="1:15" x14ac:dyDescent="0.25">
      <c r="J31" s="376" t="s">
        <v>482</v>
      </c>
      <c r="K31" s="312">
        <f>+I29+K29</f>
        <v>37922742.302766383</v>
      </c>
    </row>
    <row r="32" spans="1:15" x14ac:dyDescent="0.25">
      <c r="I32" s="312"/>
      <c r="K32" s="378">
        <f>+K31/L29</f>
        <v>0.1596109318131794</v>
      </c>
    </row>
    <row r="33" spans="11:11" x14ac:dyDescent="0.25">
      <c r="K33" s="127">
        <v>0.82547925038734704</v>
      </c>
    </row>
    <row r="64" spans="10:11" x14ac:dyDescent="0.25">
      <c r="J64" s="391" t="s">
        <v>486</v>
      </c>
      <c r="K64" s="312">
        <f>+K31/1.95583*K33</f>
        <v>16005704.426622013</v>
      </c>
    </row>
    <row r="65" spans="10:13" x14ac:dyDescent="0.25">
      <c r="J65" s="391"/>
      <c r="K65" s="312">
        <f>+L29-K31</f>
        <v>199672150.92894536</v>
      </c>
    </row>
    <row r="66" spans="10:13" x14ac:dyDescent="0.25">
      <c r="J66" s="391" t="s">
        <v>486</v>
      </c>
      <c r="K66" s="312">
        <f>+K65/1.95583*K33</f>
        <v>84273795.50986284</v>
      </c>
    </row>
    <row r="68" spans="10:13" x14ac:dyDescent="0.25">
      <c r="K68" s="312">
        <v>18090109.071054999</v>
      </c>
      <c r="M68" s="312">
        <f>+L29-K31</f>
        <v>199672150.92894536</v>
      </c>
    </row>
    <row r="69" spans="10:13" x14ac:dyDescent="0.25">
      <c r="K69" s="312">
        <f>+K68/1.95583*K33</f>
        <v>7635126.6088565094</v>
      </c>
      <c r="M69" s="312">
        <f>+K70-M68</f>
        <v>18090108.071054637</v>
      </c>
    </row>
    <row r="70" spans="10:13" x14ac:dyDescent="0.25">
      <c r="K70" s="312">
        <v>217762259</v>
      </c>
    </row>
    <row r="71" spans="10:13" x14ac:dyDescent="0.25">
      <c r="K71" s="312">
        <f>+K70/1.95583*K33</f>
        <v>91908921.696658358</v>
      </c>
    </row>
    <row r="73" spans="10:13" x14ac:dyDescent="0.25">
      <c r="K73" s="312">
        <v>192188569</v>
      </c>
      <c r="L73" s="127">
        <v>17755311</v>
      </c>
      <c r="M73" s="127">
        <v>7818379</v>
      </c>
    </row>
    <row r="74" spans="10:13" x14ac:dyDescent="0.25">
      <c r="K74" s="312">
        <f>+K73+L73+M73</f>
        <v>217762259</v>
      </c>
    </row>
    <row r="76" spans="10:13" x14ac:dyDescent="0.25">
      <c r="K76" s="392">
        <f>+K69/1000000</f>
        <v>7.6351266088565097</v>
      </c>
    </row>
  </sheetData>
  <customSheetViews>
    <customSheetView guid="{6BEE494D-3BDB-46C2-9750-A57C1F94B9B8}" scale="90" showGridLines="0">
      <selection activeCell="J7" sqref="J7"/>
      <pageMargins left="0.7" right="0.7" top="0.75" bottom="0.75" header="0.3" footer="0.3"/>
      <pageSetup paperSize="9" orientation="portrait" horizontalDpi="300" verticalDpi="300" r:id="rId1"/>
    </customSheetView>
    <customSheetView guid="{B426F9F8-EB1A-4D7B-9478-7E22D414CC12}" scale="85" showPageBreaks="1" printArea="1">
      <selection activeCell="D7" sqref="D7:K8"/>
      <pageMargins left="0.7" right="0.7" top="0.75" bottom="0.75" header="0.3" footer="0.3"/>
      <pageSetup paperSize="9" orientation="portrait" horizontalDpi="300" verticalDpi="300" r:id="rId2"/>
    </customSheetView>
    <customSheetView guid="{13EBDE9D-EC74-4522-9EED-363E735B4A78}" scale="90" showPageBreaks="1" showGridLines="0" printArea="1">
      <selection activeCell="J7" sqref="J7"/>
      <pageMargins left="0.7" right="0.7" top="0.75" bottom="0.75" header="0.3" footer="0.3"/>
      <pageSetup paperSize="9" orientation="portrait" horizontalDpi="300" verticalDpi="300" r:id="rId3"/>
    </customSheetView>
    <customSheetView guid="{F67C426D-26F1-4B15-961D-40AFD17A9EE3}" scale="115" showPageBreaks="1" printArea="1">
      <selection activeCell="D19" sqref="D19"/>
      <pageMargins left="0.7" right="0.7" top="0.75" bottom="0.75" header="0.3" footer="0.3"/>
      <pageSetup paperSize="9" orientation="portrait" horizontalDpi="300" verticalDpi="300" r:id="rId4"/>
    </customSheetView>
    <customSheetView guid="{B777B674-73ED-4225-A0AA-917FDFF5A819}" scale="115">
      <selection activeCell="D19" sqref="D19"/>
      <pageMargins left="0.7" right="0.7" top="0.75" bottom="0.75" header="0.3" footer="0.3"/>
      <pageSetup paperSize="9" orientation="portrait" horizontalDpi="300" verticalDpi="300" r:id="rId5"/>
    </customSheetView>
    <customSheetView guid="{DE1004AE-EE6B-445B-9B87-77176E699CEC}" scale="115">
      <selection activeCell="D19" sqref="D19"/>
      <pageMargins left="0.7" right="0.7" top="0.75" bottom="0.75" header="0.3" footer="0.3"/>
      <pageSetup paperSize="9" orientation="portrait" horizontalDpi="300" verticalDpi="300" r:id="rId6"/>
    </customSheetView>
    <customSheetView guid="{7FBA698A-B4F9-473C-A697-22EC99EC7386}" scale="85">
      <selection activeCell="D7" sqref="D7:K8"/>
      <pageMargins left="0.7" right="0.7" top="0.75" bottom="0.75" header="0.3" footer="0.3"/>
      <pageSetup paperSize="9" orientation="portrait" horizontalDpi="300" verticalDpi="300" r:id="rId7"/>
    </customSheetView>
    <customSheetView guid="{53CF95D2-2F99-49E8-AB7F-7627DCDE0DC8}" scale="115">
      <selection activeCell="D19" sqref="D19"/>
      <pageMargins left="0.7" right="0.7" top="0.75" bottom="0.75" header="0.3" footer="0.3"/>
      <pageSetup paperSize="9" orientation="portrait" horizontalDpi="300" verticalDpi="300" r:id="rId8"/>
    </customSheetView>
    <customSheetView guid="{AD504361-49F3-4986-BDBF-FB73E2299976}" showPageBreaks="1" printArea="1" topLeftCell="C1">
      <selection activeCell="M6" sqref="M6:M8"/>
      <pageMargins left="0.7" right="0.7" top="0.75" bottom="0.75" header="0.3" footer="0.3"/>
      <pageSetup paperSize="9" orientation="portrait" horizontalDpi="300" verticalDpi="300" r:id="rId9"/>
    </customSheetView>
    <customSheetView guid="{DD0EA6D3-BC8C-40D3-B12F-B88059C8E3DC}" scale="85">
      <selection activeCell="D7" sqref="D7:K8"/>
      <pageMargins left="0.7" right="0.7" top="0.75" bottom="0.75" header="0.3" footer="0.3"/>
      <pageSetup paperSize="9" orientation="portrait" horizontalDpi="300" verticalDpi="300" r:id="rId10"/>
    </customSheetView>
    <customSheetView guid="{72B67681-E295-44ED-80A6-F4B618B242B1}" scale="115">
      <selection activeCell="F29" sqref="F29"/>
    </customSheetView>
    <customSheetView guid="{9CD5F6CE-0E1C-42DA-A598-93523B740CBC}" scale="115" showPageBreaks="1" printArea="1">
      <selection activeCell="F29" sqref="F29"/>
      <pageMargins left="0.7" right="0.7" top="0.75" bottom="0.75" header="0.3" footer="0.3"/>
      <pageSetup paperSize="9" orientation="portrait" horizontalDpi="300" verticalDpi="300" r:id="rId11"/>
    </customSheetView>
    <customSheetView guid="{E07B67F4-8A17-4050-B9B8-81977BCB02E2}" scale="115" showPageBreaks="1" printArea="1">
      <selection activeCell="A21" sqref="A21"/>
      <pageMargins left="0.7" right="0.7" top="0.75" bottom="0.75" header="0.3" footer="0.3"/>
      <pageSetup paperSize="9" orientation="portrait" horizontalDpi="300" verticalDpi="300" r:id="rId12"/>
    </customSheetView>
    <customSheetView guid="{2A6315F5-C9A2-43A7-B337-00FD30A3EB26}" scale="115" showPageBreaks="1" printArea="1">
      <selection activeCell="F29" sqref="F29"/>
      <pageMargins left="0.7" right="0.7" top="0.75" bottom="0.75" header="0.3" footer="0.3"/>
      <pageSetup paperSize="9" orientation="portrait" horizontalDpi="300" verticalDpi="300" r:id="rId13"/>
    </customSheetView>
    <customSheetView guid="{D1BD168D-40B4-46AB-88B7-64C22520CFA0}" scale="115" showPageBreaks="1" printArea="1">
      <selection activeCell="A2" sqref="A2"/>
      <pageMargins left="0.7" right="0.7" top="0.75" bottom="0.75" header="0.3" footer="0.3"/>
      <pageSetup paperSize="9" orientation="portrait" horizontalDpi="300" verticalDpi="300" r:id="rId14"/>
    </customSheetView>
    <customSheetView guid="{56BC42A3-D967-4F27-BD5A-CB0B8CB7F657}" scale="115" showPageBreaks="1" printArea="1">
      <selection activeCell="F29" sqref="F29"/>
      <pageMargins left="0.7" right="0.7" top="0.75" bottom="0.75" header="0.3" footer="0.3"/>
      <pageSetup paperSize="9" orientation="portrait" horizontalDpi="300" verticalDpi="300" r:id="rId15"/>
    </customSheetView>
    <customSheetView guid="{DE419AE1-55C7-41E8-9A94-E4062EF30970}" scale="115" showPageBreaks="1" printArea="1">
      <selection activeCell="F29" sqref="F29"/>
      <pageMargins left="0.7" right="0.7" top="0.75" bottom="0.75" header="0.3" footer="0.3"/>
      <pageSetup paperSize="9" orientation="portrait" horizontalDpi="300" verticalDpi="300" r:id="rId16"/>
    </customSheetView>
    <customSheetView guid="{6B77031E-918C-40F9-A42D-E4EA46622624}" scale="115">
      <selection activeCell="F29" sqref="F29"/>
      <pageMargins left="0.7" right="0.7" top="0.75" bottom="0.75" header="0.3" footer="0.3"/>
      <pageSetup paperSize="9" orientation="portrait" horizontalDpi="300" verticalDpi="300" r:id="rId17"/>
    </customSheetView>
    <customSheetView guid="{77799D3C-38E2-410A-80FA-AECD8E6AB89B}" scale="115" showPageBreaks="1" printArea="1">
      <selection activeCell="F29" sqref="F29"/>
      <pageMargins left="0.7" right="0.7" top="0.75" bottom="0.75" header="0.3" footer="0.3"/>
      <pageSetup paperSize="9" orientation="portrait" horizontalDpi="300" verticalDpi="300" r:id="rId18"/>
    </customSheetView>
    <customSheetView guid="{32A281B9-28FB-4D0E-8C01-BFBADAC8C3C9}" scale="115" showPageBreaks="1" printArea="1">
      <selection activeCell="D19" sqref="D19"/>
      <pageMargins left="0.7" right="0.7" top="0.75" bottom="0.75" header="0.3" footer="0.3"/>
      <pageSetup paperSize="9" orientation="portrait" horizontalDpi="300" verticalDpi="300" r:id="rId19"/>
    </customSheetView>
  </customSheetViews>
  <mergeCells count="26">
    <mergeCell ref="J30:K30"/>
    <mergeCell ref="H30:I30"/>
    <mergeCell ref="A24:L24"/>
    <mergeCell ref="A25:A26"/>
    <mergeCell ref="B25:B26"/>
    <mergeCell ref="C25:C26"/>
    <mergeCell ref="D25:D26"/>
    <mergeCell ref="E25:E26"/>
    <mergeCell ref="F25:F26"/>
    <mergeCell ref="G25:G26"/>
    <mergeCell ref="H25:I25"/>
    <mergeCell ref="J25:K25"/>
    <mergeCell ref="L25:L26"/>
    <mergeCell ref="A3:L3"/>
    <mergeCell ref="I12:K12"/>
    <mergeCell ref="A16:L16"/>
    <mergeCell ref="H17:I17"/>
    <mergeCell ref="J17:K17"/>
    <mergeCell ref="D17:D18"/>
    <mergeCell ref="E17:E18"/>
    <mergeCell ref="F17:F18"/>
    <mergeCell ref="G17:G18"/>
    <mergeCell ref="C17:C18"/>
    <mergeCell ref="L17:L18"/>
    <mergeCell ref="B17:B18"/>
    <mergeCell ref="A17:A18"/>
  </mergeCells>
  <pageMargins left="0.7" right="0.7" top="0.75" bottom="0.75" header="0.3" footer="0.3"/>
  <pageSetup paperSize="9" orientation="portrait" horizontalDpi="300" verticalDpi="3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22" zoomScale="85" zoomScaleNormal="85" workbookViewId="0">
      <selection activeCell="C30" sqref="C30"/>
    </sheetView>
  </sheetViews>
  <sheetFormatPr defaultColWidth="12.7109375" defaultRowHeight="15" x14ac:dyDescent="0.25"/>
  <cols>
    <col min="1" max="1" width="12.7109375" style="132" customWidth="1"/>
    <col min="2" max="2" width="27.28515625" style="132" customWidth="1"/>
    <col min="3" max="3" width="12.7109375" style="132"/>
    <col min="4" max="4" width="18.28515625" style="132" customWidth="1"/>
    <col min="5" max="5" width="17.28515625" style="132" customWidth="1"/>
    <col min="6" max="6" width="16.28515625" style="132" bestFit="1" customWidth="1"/>
    <col min="7" max="8" width="16.28515625" style="132" customWidth="1"/>
    <col min="9" max="10" width="14.28515625" style="132" bestFit="1" customWidth="1"/>
    <col min="11" max="11" width="15.7109375" style="132" customWidth="1"/>
    <col min="12" max="12" width="17.28515625" style="132" bestFit="1" customWidth="1"/>
    <col min="13" max="13" width="16.5703125" style="132" bestFit="1" customWidth="1"/>
    <col min="14" max="14" width="15.42578125" style="149" bestFit="1" customWidth="1"/>
    <col min="15" max="15" width="17.28515625" style="286" customWidth="1"/>
    <col min="16" max="17" width="12.7109375" style="286"/>
    <col min="18" max="18" width="13" style="286" bestFit="1" customWidth="1"/>
    <col min="19" max="19" width="16.5703125" style="286" bestFit="1" customWidth="1"/>
    <col min="20" max="20" width="14.28515625" style="286" bestFit="1" customWidth="1"/>
    <col min="21" max="21" width="18.7109375" style="132" customWidth="1"/>
    <col min="22" max="16384" width="12.7109375" style="132"/>
  </cols>
  <sheetData>
    <row r="1" spans="1:24" ht="15.75" customHeight="1" thickBot="1" x14ac:dyDescent="0.3">
      <c r="N1" s="135"/>
    </row>
    <row r="2" spans="1:24" ht="31.5" customHeight="1" thickBot="1" x14ac:dyDescent="0.3">
      <c r="A2" s="431" t="s">
        <v>17</v>
      </c>
      <c r="B2" s="432"/>
      <c r="C2" s="432"/>
      <c r="D2" s="432"/>
      <c r="E2" s="432"/>
      <c r="F2" s="432"/>
      <c r="G2" s="432"/>
      <c r="H2" s="432"/>
      <c r="I2" s="432"/>
      <c r="J2" s="432"/>
      <c r="K2" s="432"/>
      <c r="L2" s="432"/>
      <c r="M2" s="433"/>
      <c r="N2" s="135"/>
      <c r="O2" s="297"/>
      <c r="P2" s="297"/>
      <c r="Q2" s="297"/>
      <c r="R2" s="297"/>
      <c r="S2" s="297"/>
      <c r="T2" s="297"/>
    </row>
    <row r="3" spans="1:24" ht="60.75" customHeight="1" thickBot="1" x14ac:dyDescent="0.3">
      <c r="A3" s="440" t="s">
        <v>18</v>
      </c>
      <c r="B3" s="434" t="s">
        <v>19</v>
      </c>
      <c r="C3" s="434" t="s">
        <v>20</v>
      </c>
      <c r="D3" s="434" t="s">
        <v>21</v>
      </c>
      <c r="E3" s="434" t="s">
        <v>22</v>
      </c>
      <c r="F3" s="434" t="s">
        <v>23</v>
      </c>
      <c r="G3" s="438" t="s">
        <v>293</v>
      </c>
      <c r="H3" s="439"/>
      <c r="I3" s="434" t="s">
        <v>24</v>
      </c>
      <c r="J3" s="438" t="s">
        <v>25</v>
      </c>
      <c r="K3" s="439"/>
      <c r="L3" s="436" t="s">
        <v>26</v>
      </c>
      <c r="M3" s="434" t="s">
        <v>27</v>
      </c>
      <c r="N3" s="135"/>
      <c r="O3" s="298"/>
      <c r="P3" s="298"/>
      <c r="Q3" s="298"/>
      <c r="R3" s="298"/>
      <c r="S3" s="298"/>
      <c r="T3" s="299"/>
    </row>
    <row r="4" spans="1:24" ht="54" customHeight="1" x14ac:dyDescent="0.25">
      <c r="A4" s="441"/>
      <c r="B4" s="435"/>
      <c r="C4" s="435"/>
      <c r="D4" s="435"/>
      <c r="E4" s="435"/>
      <c r="F4" s="435"/>
      <c r="G4" s="223" t="s">
        <v>292</v>
      </c>
      <c r="H4" s="223" t="s">
        <v>294</v>
      </c>
      <c r="I4" s="435"/>
      <c r="J4" s="136" t="s">
        <v>28</v>
      </c>
      <c r="K4" s="136" t="s">
        <v>29</v>
      </c>
      <c r="L4" s="437"/>
      <c r="M4" s="435"/>
      <c r="N4" s="135"/>
      <c r="O4" s="300"/>
      <c r="P4" s="300"/>
      <c r="Q4" s="300"/>
      <c r="R4" s="300"/>
      <c r="S4" s="300"/>
      <c r="T4" s="207"/>
    </row>
    <row r="5" spans="1:24" ht="15.75" thickBot="1" x14ac:dyDescent="0.3">
      <c r="A5" s="442"/>
      <c r="B5" s="137"/>
      <c r="C5" s="138"/>
      <c r="D5" s="137"/>
      <c r="E5" s="137"/>
      <c r="F5" s="137" t="s">
        <v>30</v>
      </c>
      <c r="G5" s="137"/>
      <c r="H5" s="137"/>
      <c r="I5" s="137" t="s">
        <v>31</v>
      </c>
      <c r="J5" s="137" t="s">
        <v>32</v>
      </c>
      <c r="K5" s="137" t="s">
        <v>33</v>
      </c>
      <c r="L5" s="137" t="s">
        <v>34</v>
      </c>
      <c r="M5" s="137" t="s">
        <v>35</v>
      </c>
      <c r="N5" s="135"/>
      <c r="O5" s="301"/>
      <c r="P5" s="301"/>
      <c r="Q5" s="301"/>
      <c r="R5" s="302"/>
      <c r="S5" s="154"/>
      <c r="T5" s="207"/>
      <c r="U5" s="204"/>
    </row>
    <row r="6" spans="1:24" ht="15.75" thickBot="1" x14ac:dyDescent="0.3">
      <c r="A6" s="139"/>
      <c r="B6" s="137"/>
      <c r="C6" s="138"/>
      <c r="D6" s="137"/>
      <c r="E6" s="137"/>
      <c r="F6" s="137"/>
      <c r="G6" s="137"/>
      <c r="H6" s="137"/>
      <c r="I6" s="137"/>
      <c r="J6" s="137"/>
      <c r="K6" s="137"/>
      <c r="L6" s="137"/>
      <c r="M6" s="137"/>
      <c r="N6" s="135"/>
      <c r="O6" s="301"/>
      <c r="P6" s="301"/>
      <c r="Q6" s="301"/>
      <c r="R6" s="302"/>
      <c r="S6" s="154"/>
      <c r="T6" s="207"/>
    </row>
    <row r="7" spans="1:24" ht="47.25" customHeight="1" thickBot="1" x14ac:dyDescent="0.3">
      <c r="A7" s="201" t="s">
        <v>36</v>
      </c>
      <c r="B7" s="201" t="s">
        <v>37</v>
      </c>
      <c r="C7" s="193" t="s">
        <v>38</v>
      </c>
      <c r="D7" s="137" t="s">
        <v>39</v>
      </c>
      <c r="E7" s="196" t="s">
        <v>40</v>
      </c>
      <c r="F7" s="202">
        <v>13901013</v>
      </c>
      <c r="G7" s="236">
        <v>11716767</v>
      </c>
      <c r="H7" s="226">
        <v>2184246</v>
      </c>
      <c r="I7" s="140">
        <f>+J7+K7</f>
        <v>5957577</v>
      </c>
      <c r="J7" s="140">
        <v>5957577</v>
      </c>
      <c r="K7" s="224"/>
      <c r="L7" s="140">
        <f>+F7+I7</f>
        <v>19858590</v>
      </c>
      <c r="M7" s="324">
        <f>+F7/L7</f>
        <v>0.7</v>
      </c>
      <c r="N7" s="135"/>
      <c r="O7" s="301"/>
      <c r="P7" s="301"/>
      <c r="Q7" s="301"/>
      <c r="R7" s="302"/>
      <c r="S7" s="154"/>
      <c r="T7" s="207"/>
      <c r="U7" s="143"/>
    </row>
    <row r="8" spans="1:24" ht="56.25" customHeight="1" thickBot="1" x14ac:dyDescent="0.3">
      <c r="A8" s="201" t="s">
        <v>41</v>
      </c>
      <c r="B8" s="201" t="s">
        <v>42</v>
      </c>
      <c r="C8" s="193" t="s">
        <v>43</v>
      </c>
      <c r="D8" s="137" t="s">
        <v>44</v>
      </c>
      <c r="E8" s="196" t="s">
        <v>45</v>
      </c>
      <c r="F8" s="202">
        <v>86378487</v>
      </c>
      <c r="G8" s="236">
        <v>72549634</v>
      </c>
      <c r="H8" s="226">
        <v>13828853</v>
      </c>
      <c r="I8" s="140">
        <f>+J8+K8</f>
        <v>15243263</v>
      </c>
      <c r="J8" s="140">
        <v>15243263</v>
      </c>
      <c r="K8" s="224"/>
      <c r="L8" s="140">
        <f>+F8+I8</f>
        <v>101621750</v>
      </c>
      <c r="M8" s="324">
        <f>+F8/L8</f>
        <v>0.8499999950797934</v>
      </c>
      <c r="N8" s="135"/>
      <c r="O8" s="301"/>
      <c r="P8" s="301"/>
      <c r="Q8" s="301"/>
      <c r="R8" s="302"/>
      <c r="S8" s="154"/>
      <c r="T8" s="206"/>
      <c r="U8" s="203"/>
    </row>
    <row r="9" spans="1:24" ht="32.25" customHeight="1" thickBot="1" x14ac:dyDescent="0.3">
      <c r="A9" s="443" t="s">
        <v>46</v>
      </c>
      <c r="B9" s="444"/>
      <c r="C9" s="144"/>
      <c r="D9" s="145"/>
      <c r="E9" s="196" t="s">
        <v>47</v>
      </c>
      <c r="F9" s="146"/>
      <c r="G9" s="237"/>
      <c r="H9" s="146"/>
      <c r="I9" s="147">
        <f t="shared" ref="I9:I16" si="0">+J9+K9</f>
        <v>0</v>
      </c>
      <c r="J9" s="146"/>
      <c r="K9" s="225"/>
      <c r="L9" s="140">
        <f t="shared" ref="L9:L16" si="1">+F9+I9</f>
        <v>0</v>
      </c>
      <c r="M9" s="324">
        <v>0</v>
      </c>
      <c r="N9" s="135"/>
      <c r="O9" s="301"/>
      <c r="P9" s="301"/>
      <c r="Q9" s="301"/>
      <c r="R9" s="302"/>
      <c r="S9" s="154"/>
      <c r="T9" s="208"/>
      <c r="U9" s="143"/>
      <c r="V9" s="143"/>
      <c r="W9" s="143"/>
      <c r="X9" s="143"/>
    </row>
    <row r="10" spans="1:24" ht="32.25" customHeight="1" thickBot="1" x14ac:dyDescent="0.3">
      <c r="A10" s="445"/>
      <c r="B10" s="446"/>
      <c r="C10" s="144"/>
      <c r="D10" s="145"/>
      <c r="E10" s="196" t="s">
        <v>48</v>
      </c>
      <c r="F10" s="140">
        <f t="shared" ref="F10:H11" si="2">+F7</f>
        <v>13901013</v>
      </c>
      <c r="G10" s="236">
        <f t="shared" si="2"/>
        <v>11716767</v>
      </c>
      <c r="H10" s="226">
        <f t="shared" si="2"/>
        <v>2184246</v>
      </c>
      <c r="I10" s="140">
        <f>+J10+K10</f>
        <v>5957577</v>
      </c>
      <c r="J10" s="140">
        <f>+J7</f>
        <v>5957577</v>
      </c>
      <c r="K10" s="225"/>
      <c r="L10" s="140">
        <f t="shared" si="1"/>
        <v>19858590</v>
      </c>
      <c r="M10" s="324">
        <f t="shared" ref="M10:M11" si="3">+F10/L10</f>
        <v>0.7</v>
      </c>
      <c r="N10" s="135">
        <f>+L10*1.95583</f>
        <v>38840026.079700001</v>
      </c>
      <c r="O10" s="301"/>
      <c r="P10" s="301"/>
      <c r="Q10" s="301"/>
      <c r="R10" s="302"/>
      <c r="S10" s="154"/>
      <c r="T10" s="209"/>
      <c r="U10" s="129"/>
      <c r="V10" s="135"/>
      <c r="W10" s="143"/>
      <c r="X10" s="143"/>
    </row>
    <row r="11" spans="1:24" ht="32.25" customHeight="1" thickBot="1" x14ac:dyDescent="0.3">
      <c r="A11" s="445"/>
      <c r="B11" s="446"/>
      <c r="C11" s="144"/>
      <c r="D11" s="145"/>
      <c r="E11" s="196" t="s">
        <v>49</v>
      </c>
      <c r="F11" s="140">
        <f t="shared" si="2"/>
        <v>86378487</v>
      </c>
      <c r="G11" s="236">
        <f t="shared" si="2"/>
        <v>72549634</v>
      </c>
      <c r="H11" s="226">
        <f t="shared" si="2"/>
        <v>13828853</v>
      </c>
      <c r="I11" s="140">
        <f>+J11+K11</f>
        <v>15243263</v>
      </c>
      <c r="J11" s="140">
        <f>+J8</f>
        <v>15243263</v>
      </c>
      <c r="K11" s="224"/>
      <c r="L11" s="140">
        <f t="shared" si="1"/>
        <v>101621750</v>
      </c>
      <c r="M11" s="325">
        <f t="shared" si="3"/>
        <v>0.8499999950797934</v>
      </c>
      <c r="N11" s="135">
        <f>+L11*1.95583</f>
        <v>198754867.30250001</v>
      </c>
      <c r="O11" s="301"/>
      <c r="P11" s="301"/>
      <c r="Q11" s="301"/>
      <c r="R11" s="302"/>
      <c r="S11" s="154"/>
      <c r="T11" s="210"/>
      <c r="U11" s="129"/>
      <c r="V11" s="135"/>
      <c r="W11" s="143"/>
      <c r="X11" s="143"/>
    </row>
    <row r="12" spans="1:24" ht="15.75" thickBot="1" x14ac:dyDescent="0.3">
      <c r="A12" s="447"/>
      <c r="B12" s="448"/>
      <c r="C12" s="144"/>
      <c r="D12" s="145"/>
      <c r="E12" s="196" t="s">
        <v>50</v>
      </c>
      <c r="F12" s="146"/>
      <c r="G12" s="146"/>
      <c r="H12" s="146"/>
      <c r="I12" s="147">
        <f t="shared" si="0"/>
        <v>0</v>
      </c>
      <c r="J12" s="146"/>
      <c r="K12" s="225"/>
      <c r="L12" s="140">
        <f t="shared" si="1"/>
        <v>0</v>
      </c>
      <c r="M12" s="148"/>
      <c r="N12" s="135"/>
      <c r="O12" s="301"/>
      <c r="P12" s="301"/>
      <c r="Q12" s="301"/>
      <c r="R12" s="302"/>
      <c r="S12" s="154"/>
      <c r="T12" s="206"/>
      <c r="U12" s="129"/>
      <c r="V12" s="135"/>
      <c r="W12" s="143"/>
      <c r="X12" s="143"/>
    </row>
    <row r="13" spans="1:24" ht="32.25" customHeight="1" thickBot="1" x14ac:dyDescent="0.3">
      <c r="A13" s="449" t="s">
        <v>51</v>
      </c>
      <c r="B13" s="450"/>
      <c r="C13" s="144"/>
      <c r="D13" s="145"/>
      <c r="E13" s="194" t="s">
        <v>52</v>
      </c>
      <c r="F13" s="140"/>
      <c r="G13" s="140"/>
      <c r="H13" s="140"/>
      <c r="I13" s="140">
        <f t="shared" si="0"/>
        <v>0</v>
      </c>
      <c r="J13" s="140"/>
      <c r="K13" s="137"/>
      <c r="L13" s="140">
        <f t="shared" si="1"/>
        <v>0</v>
      </c>
      <c r="M13" s="148"/>
      <c r="N13" s="135"/>
      <c r="S13" s="303"/>
      <c r="T13" s="287"/>
      <c r="U13" s="129"/>
      <c r="V13" s="135"/>
      <c r="W13" s="143"/>
      <c r="X13" s="143"/>
    </row>
    <row r="14" spans="1:24" ht="32.25" customHeight="1" thickBot="1" x14ac:dyDescent="0.3">
      <c r="A14" s="445"/>
      <c r="B14" s="446"/>
      <c r="C14" s="144"/>
      <c r="D14" s="145"/>
      <c r="E14" s="194" t="s">
        <v>53</v>
      </c>
      <c r="F14" s="140"/>
      <c r="G14" s="140"/>
      <c r="H14" s="140"/>
      <c r="I14" s="140">
        <f t="shared" si="0"/>
        <v>0</v>
      </c>
      <c r="J14" s="140"/>
      <c r="K14" s="137"/>
      <c r="L14" s="140">
        <f>+F14+I14</f>
        <v>0</v>
      </c>
      <c r="M14" s="148"/>
      <c r="N14" s="135"/>
      <c r="Q14" s="288"/>
      <c r="S14" s="303"/>
      <c r="T14" s="287"/>
      <c r="U14" s="135"/>
      <c r="V14" s="211"/>
      <c r="W14" s="143"/>
      <c r="X14" s="143"/>
    </row>
    <row r="15" spans="1:24" ht="32.25" customHeight="1" thickBot="1" x14ac:dyDescent="0.3">
      <c r="A15" s="445"/>
      <c r="B15" s="446"/>
      <c r="C15" s="144"/>
      <c r="D15" s="145"/>
      <c r="E15" s="194" t="s">
        <v>54</v>
      </c>
      <c r="F15" s="140"/>
      <c r="G15" s="140"/>
      <c r="H15" s="140"/>
      <c r="I15" s="140">
        <f t="shared" si="0"/>
        <v>0</v>
      </c>
      <c r="J15" s="140"/>
      <c r="K15" s="141"/>
      <c r="L15" s="140">
        <f>+F15+I15</f>
        <v>0</v>
      </c>
      <c r="M15" s="148"/>
      <c r="N15" s="135"/>
      <c r="O15" s="289"/>
      <c r="P15" s="143"/>
      <c r="Q15" s="288"/>
      <c r="R15" s="143"/>
      <c r="S15" s="303"/>
      <c r="T15" s="290"/>
    </row>
    <row r="16" spans="1:24" ht="68.25" thickBot="1" x14ac:dyDescent="0.3">
      <c r="A16" s="447"/>
      <c r="B16" s="448"/>
      <c r="C16" s="144"/>
      <c r="D16" s="145"/>
      <c r="E16" s="194" t="s">
        <v>55</v>
      </c>
      <c r="F16" s="137"/>
      <c r="G16" s="137"/>
      <c r="H16" s="137"/>
      <c r="I16" s="147">
        <f t="shared" si="0"/>
        <v>0</v>
      </c>
      <c r="J16" s="146"/>
      <c r="K16" s="137"/>
      <c r="L16" s="147">
        <f t="shared" si="1"/>
        <v>0</v>
      </c>
      <c r="M16" s="148"/>
      <c r="N16" s="135"/>
      <c r="O16" s="289"/>
      <c r="P16" s="291"/>
      <c r="Q16" s="291"/>
      <c r="R16" s="292"/>
      <c r="S16" s="135"/>
      <c r="T16" s="143"/>
    </row>
    <row r="17" spans="1:20" ht="15.75" thickBot="1" x14ac:dyDescent="0.3">
      <c r="A17" s="453" t="s">
        <v>56</v>
      </c>
      <c r="B17" s="454"/>
      <c r="C17" s="144"/>
      <c r="D17" s="145" t="s">
        <v>57</v>
      </c>
      <c r="E17" s="192"/>
      <c r="F17" s="137"/>
      <c r="G17" s="137"/>
      <c r="H17" s="137"/>
      <c r="I17" s="146"/>
      <c r="J17" s="146"/>
      <c r="K17" s="137"/>
      <c r="L17" s="146"/>
      <c r="M17" s="142"/>
      <c r="O17" s="289"/>
      <c r="P17" s="291"/>
      <c r="Q17" s="291"/>
      <c r="R17" s="292"/>
      <c r="S17" s="135"/>
      <c r="T17" s="143"/>
    </row>
    <row r="18" spans="1:20" ht="15.75" thickBot="1" x14ac:dyDescent="0.3">
      <c r="A18" s="451" t="s">
        <v>58</v>
      </c>
      <c r="B18" s="452"/>
      <c r="C18" s="144"/>
      <c r="D18" s="150"/>
      <c r="E18" s="192"/>
      <c r="F18" s="151">
        <f>+F10+F11</f>
        <v>100279500</v>
      </c>
      <c r="G18" s="151">
        <f t="shared" ref="G18" si="4">+G10+G11</f>
        <v>84266401</v>
      </c>
      <c r="H18" s="151">
        <f>+H10+H11</f>
        <v>16013099</v>
      </c>
      <c r="I18" s="151">
        <f t="shared" ref="I18:L18" si="5">+I10+I11</f>
        <v>21200840</v>
      </c>
      <c r="J18" s="151">
        <f t="shared" si="5"/>
        <v>21200840</v>
      </c>
      <c r="K18" s="151"/>
      <c r="L18" s="151">
        <f t="shared" si="5"/>
        <v>121480340</v>
      </c>
      <c r="M18" s="152">
        <f>+F18/L18</f>
        <v>0.8254792503873466</v>
      </c>
      <c r="N18" s="265">
        <f>+L18*1.95583</f>
        <v>237594893.3822</v>
      </c>
      <c r="O18" s="289"/>
      <c r="P18" s="291"/>
      <c r="Q18" s="291"/>
      <c r="R18" s="292"/>
      <c r="S18" s="143"/>
      <c r="T18" s="143"/>
    </row>
    <row r="19" spans="1:20" x14ac:dyDescent="0.25">
      <c r="M19" s="132">
        <v>0.82547925038734704</v>
      </c>
      <c r="P19" s="291"/>
      <c r="Q19" s="291"/>
      <c r="R19" s="292"/>
      <c r="S19" s="143"/>
      <c r="T19" s="143"/>
    </row>
    <row r="20" spans="1:20" ht="107.25" customHeight="1" x14ac:dyDescent="0.25">
      <c r="G20" s="423" t="s">
        <v>295</v>
      </c>
      <c r="H20" s="423"/>
      <c r="I20" s="423"/>
      <c r="J20" s="355"/>
      <c r="K20" s="358"/>
      <c r="M20" s="221"/>
      <c r="P20" s="289"/>
      <c r="Q20" s="289"/>
      <c r="R20" s="293"/>
      <c r="S20" s="143"/>
      <c r="T20" s="143"/>
    </row>
    <row r="21" spans="1:20" ht="15.75" x14ac:dyDescent="0.25">
      <c r="E21" s="153"/>
      <c r="F21" s="153"/>
      <c r="G21" s="153"/>
      <c r="H21" s="153"/>
      <c r="I21" s="153"/>
      <c r="J21" s="356"/>
      <c r="K21" s="359"/>
      <c r="L21" s="154"/>
      <c r="M21" s="221"/>
      <c r="P21" s="143"/>
      <c r="Q21" s="143"/>
      <c r="R21" s="143"/>
      <c r="S21" s="143"/>
      <c r="T21" s="143"/>
    </row>
    <row r="22" spans="1:20" ht="15.75" x14ac:dyDescent="0.25">
      <c r="E22" s="153"/>
      <c r="F22" s="153"/>
      <c r="G22" s="153"/>
      <c r="H22" s="153"/>
      <c r="I22" s="153"/>
      <c r="J22" s="357"/>
      <c r="K22" s="360"/>
      <c r="L22" s="155"/>
      <c r="M22" s="221"/>
      <c r="P22" s="143"/>
      <c r="Q22" s="143"/>
      <c r="R22" s="143"/>
      <c r="S22" s="143"/>
      <c r="T22" s="143"/>
    </row>
    <row r="23" spans="1:20" ht="15.75" x14ac:dyDescent="0.25">
      <c r="E23" s="156"/>
      <c r="F23" s="156"/>
      <c r="G23" s="156"/>
      <c r="H23" s="156"/>
      <c r="I23" s="156"/>
      <c r="J23" s="156"/>
      <c r="K23" s="156"/>
      <c r="L23" s="157"/>
      <c r="M23" s="221"/>
      <c r="P23" s="143"/>
      <c r="Q23" s="143"/>
      <c r="R23" s="143"/>
      <c r="S23" s="143"/>
      <c r="T23" s="143"/>
    </row>
    <row r="24" spans="1:20" ht="15.75" customHeight="1" x14ac:dyDescent="0.25">
      <c r="E24" s="218"/>
      <c r="F24" s="218"/>
      <c r="G24" s="218"/>
      <c r="H24" s="296"/>
      <c r="I24" s="219"/>
      <c r="J24" s="219"/>
      <c r="K24" s="221"/>
      <c r="L24" s="222"/>
      <c r="M24" s="221"/>
      <c r="N24" s="219"/>
      <c r="P24" s="143"/>
      <c r="Q24" s="143"/>
      <c r="R24" s="143"/>
      <c r="S24" s="143"/>
      <c r="T24" s="143"/>
    </row>
    <row r="25" spans="1:20" ht="15.75" x14ac:dyDescent="0.25">
      <c r="E25" s="218"/>
      <c r="F25" s="218"/>
      <c r="G25" s="218"/>
      <c r="H25" s="135"/>
      <c r="I25" s="149"/>
      <c r="J25" s="149"/>
      <c r="K25" s="159"/>
      <c r="L25" s="158"/>
      <c r="M25" s="159"/>
      <c r="N25" s="219"/>
      <c r="P25" s="143"/>
      <c r="Q25" s="143"/>
      <c r="R25" s="143"/>
      <c r="S25" s="143"/>
      <c r="T25" s="143"/>
    </row>
    <row r="26" spans="1:20" ht="15.75" x14ac:dyDescent="0.25">
      <c r="E26" s="220"/>
      <c r="F26" s="218"/>
      <c r="G26" s="218"/>
      <c r="H26" s="135"/>
      <c r="I26" s="149"/>
      <c r="J26" s="149"/>
      <c r="K26" s="143"/>
      <c r="L26" s="143"/>
      <c r="M26" s="143"/>
      <c r="N26" s="219"/>
      <c r="P26" s="143"/>
      <c r="Q26" s="143"/>
      <c r="R26" s="143"/>
      <c r="S26" s="143"/>
      <c r="T26" s="143"/>
    </row>
    <row r="27" spans="1:20" ht="15.75" x14ac:dyDescent="0.25">
      <c r="E27" s="221"/>
      <c r="F27" s="218"/>
      <c r="G27" s="218"/>
      <c r="H27" s="135"/>
      <c r="I27" s="149"/>
      <c r="J27" s="149"/>
      <c r="K27" s="143"/>
      <c r="L27" s="143"/>
      <c r="M27" s="143"/>
      <c r="N27" s="219"/>
      <c r="P27" s="143"/>
      <c r="Q27" s="143"/>
      <c r="R27" s="143"/>
      <c r="S27" s="143"/>
      <c r="T27" s="143"/>
    </row>
    <row r="28" spans="1:20" ht="15.75" thickBot="1" x14ac:dyDescent="0.3">
      <c r="N28" s="132"/>
      <c r="P28" s="289"/>
      <c r="Q28" s="289"/>
    </row>
    <row r="29" spans="1:20" ht="15.75" thickBot="1" x14ac:dyDescent="0.3">
      <c r="B29" s="431" t="s">
        <v>476</v>
      </c>
      <c r="C29" s="432"/>
      <c r="D29" s="432"/>
      <c r="E29" s="432"/>
      <c r="F29" s="432"/>
      <c r="G29" s="432"/>
      <c r="H29" s="432"/>
      <c r="I29" s="432"/>
      <c r="J29" s="432"/>
      <c r="K29" s="432"/>
      <c r="L29" s="432"/>
      <c r="M29" s="432"/>
      <c r="N29" s="433"/>
    </row>
    <row r="30" spans="1:20" ht="103.5" customHeight="1" thickBot="1" x14ac:dyDescent="0.3">
      <c r="B30" s="369" t="s">
        <v>460</v>
      </c>
      <c r="C30" s="361" t="s">
        <v>19</v>
      </c>
      <c r="D30" s="361" t="s">
        <v>461</v>
      </c>
      <c r="E30" s="361" t="s">
        <v>3</v>
      </c>
      <c r="F30" s="361" t="s">
        <v>462</v>
      </c>
      <c r="G30" s="361" t="s">
        <v>463</v>
      </c>
      <c r="H30" s="365" t="s">
        <v>464</v>
      </c>
      <c r="I30" s="366"/>
      <c r="J30" s="361" t="s">
        <v>24</v>
      </c>
      <c r="K30" s="365" t="s">
        <v>465</v>
      </c>
      <c r="L30" s="366"/>
      <c r="M30" s="363" t="s">
        <v>5</v>
      </c>
      <c r="N30" s="361" t="s">
        <v>27</v>
      </c>
    </row>
    <row r="31" spans="1:20" ht="53.25" customHeight="1" x14ac:dyDescent="0.25">
      <c r="B31" s="370"/>
      <c r="C31" s="362"/>
      <c r="D31" s="362"/>
      <c r="E31" s="362"/>
      <c r="F31" s="362"/>
      <c r="G31" s="362"/>
      <c r="H31" s="364" t="s">
        <v>466</v>
      </c>
      <c r="I31" s="364" t="s">
        <v>467</v>
      </c>
      <c r="J31" s="362"/>
      <c r="K31" s="364" t="s">
        <v>468</v>
      </c>
      <c r="L31" s="364" t="s">
        <v>469</v>
      </c>
      <c r="M31" s="364"/>
      <c r="N31" s="362"/>
    </row>
    <row r="32" spans="1:20" ht="15.75" thickBot="1" x14ac:dyDescent="0.3">
      <c r="B32" s="371"/>
      <c r="C32" s="137"/>
      <c r="D32" s="138"/>
      <c r="E32" s="137"/>
      <c r="F32" s="137"/>
      <c r="G32" s="137" t="s">
        <v>30</v>
      </c>
      <c r="H32" s="137" t="s">
        <v>470</v>
      </c>
      <c r="I32" s="137" t="s">
        <v>471</v>
      </c>
      <c r="J32" s="137" t="s">
        <v>31</v>
      </c>
      <c r="K32" s="137" t="s">
        <v>32</v>
      </c>
      <c r="L32" s="137" t="s">
        <v>33</v>
      </c>
      <c r="M32" s="137" t="s">
        <v>472</v>
      </c>
      <c r="N32" s="137" t="s">
        <v>473</v>
      </c>
    </row>
    <row r="33" spans="2:14" ht="15.75" thickBot="1" x14ac:dyDescent="0.3">
      <c r="B33" s="139"/>
      <c r="C33" s="137"/>
      <c r="D33" s="138"/>
      <c r="E33" s="137"/>
      <c r="F33" s="137"/>
      <c r="G33" s="137"/>
      <c r="H33" s="137"/>
      <c r="I33" s="137"/>
      <c r="J33" s="137"/>
      <c r="K33" s="137"/>
      <c r="L33" s="137"/>
      <c r="M33" s="137"/>
      <c r="N33" s="137"/>
    </row>
    <row r="34" spans="2:14" ht="64.5" thickBot="1" x14ac:dyDescent="0.3">
      <c r="B34" s="201" t="s">
        <v>474</v>
      </c>
      <c r="C34" s="201" t="s">
        <v>37</v>
      </c>
      <c r="D34" s="193" t="s">
        <v>475</v>
      </c>
      <c r="E34" s="137" t="s">
        <v>39</v>
      </c>
      <c r="F34" s="196" t="s">
        <v>40</v>
      </c>
      <c r="G34" s="202">
        <f>+H34+I34</f>
        <v>13901013</v>
      </c>
      <c r="H34" s="236">
        <v>11716767</v>
      </c>
      <c r="I34" s="226">
        <v>2184246</v>
      </c>
      <c r="J34" s="140">
        <f>+K34+L34</f>
        <v>5957577</v>
      </c>
      <c r="K34" s="140">
        <v>5957577</v>
      </c>
      <c r="L34" s="224"/>
      <c r="M34" s="140">
        <f>+G34+J34</f>
        <v>19858590</v>
      </c>
      <c r="N34" s="373">
        <f>+G34/M34</f>
        <v>0.7</v>
      </c>
    </row>
    <row r="35" spans="2:14" ht="64.5" thickBot="1" x14ac:dyDescent="0.3">
      <c r="B35" s="201" t="s">
        <v>474</v>
      </c>
      <c r="C35" s="201" t="s">
        <v>37</v>
      </c>
      <c r="D35" s="193" t="s">
        <v>475</v>
      </c>
      <c r="E35" s="137" t="s">
        <v>39</v>
      </c>
      <c r="F35" s="196" t="s">
        <v>45</v>
      </c>
      <c r="G35" s="202">
        <f>+H35+I35</f>
        <v>86378487</v>
      </c>
      <c r="H35" s="236">
        <v>72549634</v>
      </c>
      <c r="I35" s="226">
        <v>13828853</v>
      </c>
      <c r="J35" s="140">
        <f>+K35+L35</f>
        <v>15243263</v>
      </c>
      <c r="K35" s="140">
        <v>15243263</v>
      </c>
      <c r="L35" s="224"/>
      <c r="M35" s="140">
        <f>+G35+J35</f>
        <v>101621750</v>
      </c>
      <c r="N35" s="373">
        <f>+G35/M35</f>
        <v>0.8499999950797934</v>
      </c>
    </row>
    <row r="36" spans="2:14" ht="15.75" thickBot="1" x14ac:dyDescent="0.3">
      <c r="B36" s="367" t="s">
        <v>5</v>
      </c>
      <c r="C36" s="368"/>
      <c r="D36" s="144"/>
      <c r="E36" s="150"/>
      <c r="F36" s="192"/>
      <c r="G36" s="151">
        <f>+G34+G35</f>
        <v>100279500</v>
      </c>
      <c r="H36" s="151">
        <f t="shared" ref="H36:M36" si="6">+H34+H35</f>
        <v>84266401</v>
      </c>
      <c r="I36" s="151">
        <f t="shared" si="6"/>
        <v>16013099</v>
      </c>
      <c r="J36" s="151">
        <f t="shared" si="6"/>
        <v>21200840</v>
      </c>
      <c r="K36" s="151">
        <f t="shared" si="6"/>
        <v>21200840</v>
      </c>
      <c r="L36" s="151"/>
      <c r="M36" s="151">
        <f t="shared" si="6"/>
        <v>121480340</v>
      </c>
      <c r="N36" s="374">
        <f>+G36/M36</f>
        <v>0.8254792503873466</v>
      </c>
    </row>
    <row r="37" spans="2:14" x14ac:dyDescent="0.25">
      <c r="F37" s="143"/>
      <c r="G37" s="143"/>
      <c r="H37" s="143"/>
      <c r="I37" s="159"/>
      <c r="J37" s="160"/>
      <c r="K37" s="159"/>
      <c r="L37" s="143"/>
    </row>
    <row r="38" spans="2:14" x14ac:dyDescent="0.25">
      <c r="F38" s="143"/>
      <c r="G38" s="143"/>
      <c r="H38" s="143"/>
      <c r="I38" s="159"/>
      <c r="J38" s="161"/>
      <c r="K38" s="160"/>
      <c r="L38" s="143"/>
    </row>
    <row r="39" spans="2:14" x14ac:dyDescent="0.25">
      <c r="F39" s="143"/>
      <c r="G39" s="143"/>
      <c r="H39" s="143"/>
      <c r="I39" s="143"/>
      <c r="J39" s="143"/>
      <c r="K39" s="143"/>
      <c r="L39" s="143"/>
    </row>
    <row r="40" spans="2:14" x14ac:dyDescent="0.25">
      <c r="F40" s="143"/>
      <c r="G40" s="143"/>
      <c r="H40" s="143"/>
      <c r="I40" s="143"/>
      <c r="J40" s="156"/>
      <c r="K40" s="156"/>
      <c r="L40" s="143"/>
    </row>
    <row r="41" spans="2:14" x14ac:dyDescent="0.25">
      <c r="F41" s="143"/>
      <c r="G41" s="143"/>
      <c r="H41" s="143"/>
      <c r="I41" s="143"/>
      <c r="J41" s="143"/>
      <c r="K41" s="143"/>
      <c r="L41" s="143"/>
    </row>
    <row r="42" spans="2:14" x14ac:dyDescent="0.25">
      <c r="F42" s="143"/>
      <c r="G42" s="143"/>
      <c r="H42" s="143"/>
      <c r="I42" s="143"/>
      <c r="J42" s="143"/>
      <c r="K42" s="143"/>
      <c r="L42" s="143"/>
    </row>
    <row r="43" spans="2:14" x14ac:dyDescent="0.25">
      <c r="F43" s="143"/>
      <c r="G43" s="143"/>
      <c r="H43" s="143"/>
      <c r="I43" s="143"/>
      <c r="J43" s="143"/>
      <c r="K43" s="143"/>
      <c r="L43" s="143"/>
    </row>
    <row r="44" spans="2:14" x14ac:dyDescent="0.25">
      <c r="F44" s="143"/>
      <c r="G44" s="143"/>
      <c r="H44" s="143"/>
      <c r="I44" s="143"/>
      <c r="J44" s="143"/>
      <c r="K44" s="143"/>
      <c r="L44" s="143"/>
    </row>
  </sheetData>
  <customSheetViews>
    <customSheetView guid="{6BEE494D-3BDB-46C2-9750-A57C1F94B9B8}" topLeftCell="B19">
      <selection activeCell="B29" sqref="B29:N29"/>
      <pageMargins left="0.7" right="0.7" top="0.75" bottom="0.75" header="0.3" footer="0.3"/>
      <pageSetup paperSize="9" orientation="portrait" horizontalDpi="300" verticalDpi="300" r:id="rId1"/>
    </customSheetView>
    <customSheetView guid="{B426F9F8-EB1A-4D7B-9478-7E22D414CC12}" showPageBreaks="1" printArea="1" topLeftCell="A4">
      <selection activeCell="N8" sqref="N8"/>
      <pageMargins left="0.7" right="0.7" top="0.75" bottom="0.75" header="0.3" footer="0.3"/>
      <pageSetup paperSize="9" orientation="portrait" horizontalDpi="300" verticalDpi="300" r:id="rId2"/>
    </customSheetView>
    <customSheetView guid="{13EBDE9D-EC74-4522-9EED-363E735B4A78}" showPageBreaks="1" printArea="1" topLeftCell="B10">
      <selection activeCell="K20" sqref="K20:K22"/>
      <pageMargins left="0.7" right="0.7" top="0.75" bottom="0.75" header="0.3" footer="0.3"/>
      <pageSetup paperSize="9" orientation="portrait" horizontalDpi="300" verticalDpi="300" r:id="rId3"/>
    </customSheetView>
    <customSheetView guid="{F67C426D-26F1-4B15-961D-40AFD17A9EE3}" showPageBreaks="1" printArea="1" topLeftCell="E16">
      <selection activeCell="L18" sqref="L18"/>
      <pageMargins left="0.7" right="0.7" top="0.75" bottom="0.75" header="0.3" footer="0.3"/>
      <pageSetup paperSize="9" orientation="portrait" horizontalDpi="300" verticalDpi="300" r:id="rId4"/>
    </customSheetView>
    <customSheetView guid="{B777B674-73ED-4225-A0AA-917FDFF5A819}" topLeftCell="E16">
      <selection activeCell="L18" sqref="L18"/>
      <pageMargins left="0.7" right="0.7" top="0.75" bottom="0.75" header="0.3" footer="0.3"/>
      <pageSetup paperSize="9" orientation="portrait" horizontalDpi="300" verticalDpi="300" r:id="rId5"/>
    </customSheetView>
    <customSheetView guid="{DE1004AE-EE6B-445B-9B87-77176E699CEC}" topLeftCell="E16">
      <selection activeCell="L18" sqref="L18"/>
      <pageMargins left="0.7" right="0.7" top="0.75" bottom="0.75" header="0.3" footer="0.3"/>
      <pageSetup paperSize="9" orientation="portrait" horizontalDpi="300" verticalDpi="300" r:id="rId6"/>
    </customSheetView>
    <customSheetView guid="{7FBA698A-B4F9-473C-A697-22EC99EC7386}" topLeftCell="G1">
      <selection activeCell="N8" sqref="N8"/>
      <pageMargins left="0.7" right="0.7" top="0.75" bottom="0.75" header="0.3" footer="0.3"/>
      <pageSetup paperSize="9" orientation="portrait" horizontalDpi="300" verticalDpi="300" r:id="rId7"/>
    </customSheetView>
    <customSheetView guid="{53CF95D2-2F99-49E8-AB7F-7627DCDE0DC8}" topLeftCell="E1">
      <selection activeCell="L18" sqref="L18"/>
      <pageMargins left="0.7" right="0.7" top="0.75" bottom="0.75" header="0.3" footer="0.3"/>
      <pageSetup paperSize="9" orientation="portrait" horizontalDpi="300" verticalDpi="300" r:id="rId8"/>
    </customSheetView>
    <customSheetView guid="{AD504361-49F3-4986-BDBF-FB73E2299976}" showPageBreaks="1" printArea="1" topLeftCell="A4">
      <selection activeCell="M16" sqref="M16:Q16"/>
      <pageMargins left="0.7" right="0.7" top="0.75" bottom="0.75" header="0.3" footer="0.3"/>
      <pageSetup paperSize="9" orientation="portrait" horizontalDpi="300" verticalDpi="300" r:id="rId9"/>
    </customSheetView>
    <customSheetView guid="{DD0EA6D3-BC8C-40D3-B12F-B88059C8E3DC}" topLeftCell="G1">
      <selection activeCell="N8" sqref="N8"/>
      <pageMargins left="0.7" right="0.7" top="0.75" bottom="0.75" header="0.3" footer="0.3"/>
      <pageSetup paperSize="9" orientation="portrait" horizontalDpi="300" verticalDpi="300" r:id="rId10"/>
    </customSheetView>
    <customSheetView guid="{72B67681-E295-44ED-80A6-F4B618B242B1}">
      <selection activeCell="C24" sqref="C24"/>
    </customSheetView>
    <customSheetView guid="{9CD5F6CE-0E1C-42DA-A598-93523B740CBC}" showPageBreaks="1" printArea="1">
      <selection activeCell="D9" sqref="D9"/>
      <pageMargins left="0.7" right="0.7" top="0.75" bottom="0.75" header="0.3" footer="0.3"/>
      <pageSetup paperSize="9" orientation="portrait" horizontalDpi="300" verticalDpi="300" r:id="rId11"/>
    </customSheetView>
    <customSheetView guid="{E07B67F4-8A17-4050-B9B8-81977BCB02E2}" showPageBreaks="1" printArea="1" topLeftCell="G10">
      <selection activeCell="G27" sqref="G27"/>
      <pageMargins left="0.7" right="0.7" top="0.75" bottom="0.75" header="0.3" footer="0.3"/>
      <pageSetup paperSize="9" orientation="portrait" horizontalDpi="300" verticalDpi="300" r:id="rId12"/>
    </customSheetView>
    <customSheetView guid="{2A6315F5-C9A2-43A7-B337-00FD30A3EB26}" showPageBreaks="1" printArea="1">
      <selection activeCell="C24" sqref="C24"/>
      <pageMargins left="0.7" right="0.7" top="0.75" bottom="0.75" header="0.3" footer="0.3"/>
      <pageSetup paperSize="9" orientation="portrait" horizontalDpi="300" verticalDpi="300" r:id="rId13"/>
    </customSheetView>
    <customSheetView guid="{D1BD168D-40B4-46AB-88B7-64C22520CFA0}" scale="85" showPageBreaks="1" printArea="1">
      <selection activeCell="F19" sqref="F19"/>
      <pageMargins left="0.7" right="0.7" top="0.75" bottom="0.75" header="0.3" footer="0.3"/>
      <pageSetup paperSize="9" orientation="portrait" horizontalDpi="300" verticalDpi="300" r:id="rId14"/>
    </customSheetView>
    <customSheetView guid="{56BC42A3-D967-4F27-BD5A-CB0B8CB7F657}" showPageBreaks="1" printArea="1">
      <selection activeCell="K11" sqref="K11"/>
      <pageMargins left="0.7" right="0.7" top="0.75" bottom="0.75" header="0.3" footer="0.3"/>
      <pageSetup paperSize="9" orientation="portrait" horizontalDpi="300" verticalDpi="300" r:id="rId15"/>
    </customSheetView>
    <customSheetView guid="{DE419AE1-55C7-41E8-9A94-E4062EF30970}" showPageBreaks="1" printArea="1">
      <selection activeCell="K11" sqref="K11"/>
      <pageMargins left="0.7" right="0.7" top="0.75" bottom="0.75" header="0.3" footer="0.3"/>
      <pageSetup paperSize="9" orientation="portrait" horizontalDpi="300" verticalDpi="300" r:id="rId16"/>
    </customSheetView>
    <customSheetView guid="{6B77031E-918C-40F9-A42D-E4EA46622624}">
      <selection activeCell="K11" sqref="K11"/>
      <pageMargins left="0.7" right="0.7" top="0.75" bottom="0.75" header="0.3" footer="0.3"/>
      <pageSetup paperSize="9" orientation="portrait" horizontalDpi="300" verticalDpi="300" r:id="rId17"/>
    </customSheetView>
    <customSheetView guid="{77799D3C-38E2-410A-80FA-AECD8E6AB89B}" showPageBreaks="1" printArea="1">
      <selection activeCell="K11" sqref="K11"/>
      <pageMargins left="0.7" right="0.7" top="0.75" bottom="0.75" header="0.3" footer="0.3"/>
      <pageSetup paperSize="9" orientation="portrait" horizontalDpi="300" verticalDpi="300" r:id="rId18"/>
    </customSheetView>
    <customSheetView guid="{32A281B9-28FB-4D0E-8C01-BFBADAC8C3C9}" showPageBreaks="1" printArea="1" topLeftCell="E1">
      <selection activeCell="L18" sqref="L18"/>
      <pageMargins left="0.7" right="0.7" top="0.75" bottom="0.75" header="0.3" footer="0.3"/>
      <pageSetup paperSize="9" orientation="portrait" horizontalDpi="300" verticalDpi="300" r:id="rId19"/>
    </customSheetView>
  </customSheetViews>
  <mergeCells count="18">
    <mergeCell ref="A9:B12"/>
    <mergeCell ref="A13:B16"/>
    <mergeCell ref="G3:H3"/>
    <mergeCell ref="B29:N29"/>
    <mergeCell ref="G20:I20"/>
    <mergeCell ref="A18:B18"/>
    <mergeCell ref="A17:B17"/>
    <mergeCell ref="A2:M2"/>
    <mergeCell ref="B3:B4"/>
    <mergeCell ref="C3:C4"/>
    <mergeCell ref="L3:L4"/>
    <mergeCell ref="M3:M4"/>
    <mergeCell ref="J3:K3"/>
    <mergeCell ref="D3:D4"/>
    <mergeCell ref="E3:E4"/>
    <mergeCell ref="F3:F4"/>
    <mergeCell ref="I3:I4"/>
    <mergeCell ref="A3:A5"/>
  </mergeCells>
  <pageMargins left="0.7" right="0.7" top="0.75" bottom="0.75" header="0.3" footer="0.3"/>
  <pageSetup paperSize="9" orientation="portrait" horizontalDpi="300" verticalDpi="300"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view="pageBreakPreview" zoomScale="80" zoomScaleNormal="85" zoomScaleSheetLayoutView="80" workbookViewId="0">
      <selection activeCell="A24" sqref="A24"/>
    </sheetView>
  </sheetViews>
  <sheetFormatPr defaultColWidth="9.28515625" defaultRowHeight="15.75" x14ac:dyDescent="0.25"/>
  <cols>
    <col min="1" max="1" width="125.28515625" style="43" bestFit="1" customWidth="1"/>
    <col min="2" max="4" width="26.5703125" style="43" customWidth="1"/>
    <col min="5" max="5" width="23.7109375" style="43" customWidth="1"/>
    <col min="6" max="7" width="18.28515625" style="43" customWidth="1"/>
    <col min="8" max="8" width="42.28515625" style="43" customWidth="1"/>
    <col min="9" max="9" width="16.7109375" style="43" bestFit="1" customWidth="1"/>
    <col min="10" max="10" width="9.28515625" style="43"/>
    <col min="11" max="11" width="15" style="43" bestFit="1" customWidth="1"/>
    <col min="12" max="12" width="18.42578125" style="43" bestFit="1" customWidth="1"/>
    <col min="13" max="13" width="15" style="43" bestFit="1" customWidth="1"/>
    <col min="14" max="14" width="16.28515625" style="43" bestFit="1" customWidth="1"/>
    <col min="15" max="15" width="13.7109375" style="43" bestFit="1" customWidth="1"/>
    <col min="16" max="16" width="21" style="43" customWidth="1"/>
    <col min="17" max="17" width="21.5703125" style="43" customWidth="1"/>
    <col min="18" max="18" width="22.28515625" style="43" customWidth="1"/>
    <col min="19" max="19" width="14.7109375" style="43" customWidth="1"/>
    <col min="20" max="20" width="19.7109375" style="43" customWidth="1"/>
    <col min="21" max="16384" width="9.28515625" style="43"/>
  </cols>
  <sheetData>
    <row r="1" spans="1:19" ht="16.5" thickBot="1" x14ac:dyDescent="0.3">
      <c r="A1" s="458" t="s">
        <v>81</v>
      </c>
      <c r="B1" s="459"/>
      <c r="C1" s="459"/>
      <c r="D1" s="459"/>
      <c r="E1" s="459"/>
      <c r="F1" s="459"/>
      <c r="G1" s="459"/>
      <c r="H1" s="460"/>
      <c r="K1" s="461" t="s">
        <v>82</v>
      </c>
      <c r="L1" s="462"/>
      <c r="M1" s="462"/>
      <c r="N1" s="462"/>
      <c r="O1" s="463"/>
    </row>
    <row r="2" spans="1:19" ht="78.75" x14ac:dyDescent="0.25">
      <c r="A2" s="44" t="s">
        <v>83</v>
      </c>
      <c r="B2" s="45" t="s">
        <v>84</v>
      </c>
      <c r="C2" s="45" t="s">
        <v>85</v>
      </c>
      <c r="D2" s="45" t="s">
        <v>86</v>
      </c>
      <c r="E2" s="45" t="s">
        <v>87</v>
      </c>
      <c r="F2" s="45" t="s">
        <v>88</v>
      </c>
      <c r="G2" s="45" t="s">
        <v>89</v>
      </c>
      <c r="H2" s="45" t="s">
        <v>90</v>
      </c>
      <c r="I2" s="46" t="s">
        <v>91</v>
      </c>
      <c r="J2" s="46" t="s">
        <v>92</v>
      </c>
      <c r="K2" s="47" t="s">
        <v>93</v>
      </c>
      <c r="L2" s="47" t="s">
        <v>94</v>
      </c>
      <c r="M2" s="47" t="s">
        <v>95</v>
      </c>
      <c r="N2" s="48" t="s">
        <v>96</v>
      </c>
      <c r="O2" s="47" t="s">
        <v>97</v>
      </c>
      <c r="P2" s="43">
        <v>1.95583</v>
      </c>
    </row>
    <row r="3" spans="1:19" ht="17.25" customHeight="1" x14ac:dyDescent="0.25">
      <c r="A3" s="464" t="s">
        <v>98</v>
      </c>
      <c r="B3" s="464"/>
      <c r="C3" s="464"/>
      <c r="D3" s="464"/>
      <c r="E3" s="464"/>
      <c r="F3" s="464"/>
      <c r="G3" s="464"/>
      <c r="H3" s="464"/>
      <c r="K3" s="49">
        <v>428871428.57142854</v>
      </c>
      <c r="L3" s="49">
        <f>K3*0.2</f>
        <v>85774285.714285716</v>
      </c>
      <c r="M3" s="49">
        <f>K3-L3</f>
        <v>343097142.85714281</v>
      </c>
      <c r="N3" s="49">
        <f>M3*0.7</f>
        <v>240167999.99999994</v>
      </c>
      <c r="O3" s="50">
        <f>0.3*M3</f>
        <v>102929142.85714284</v>
      </c>
    </row>
    <row r="4" spans="1:19" x14ac:dyDescent="0.25">
      <c r="A4" s="51" t="s">
        <v>99</v>
      </c>
      <c r="B4" s="52">
        <f>0.2*C4</f>
        <v>10507349.999999998</v>
      </c>
      <c r="C4" s="52">
        <f>70/100*D4</f>
        <v>52536749.999999985</v>
      </c>
      <c r="D4" s="52">
        <f>J4*N4</f>
        <v>75052499.999999985</v>
      </c>
      <c r="E4" s="52">
        <f>70/100*F4</f>
        <v>42029399.999999985</v>
      </c>
      <c r="F4" s="52">
        <f>J4*$N$3</f>
        <v>60041999.999999985</v>
      </c>
      <c r="G4" s="52">
        <f>F4*$P$2</f>
        <v>117431944.85999997</v>
      </c>
      <c r="H4" s="53" t="s">
        <v>100</v>
      </c>
      <c r="I4" s="54">
        <f>F4/$F$8</f>
        <v>0.13999999999999999</v>
      </c>
      <c r="J4" s="54">
        <v>0.25</v>
      </c>
      <c r="N4" s="43">
        <f>70/100*K3</f>
        <v>300209999.99999994</v>
      </c>
      <c r="O4" s="43">
        <f>30/100*K3</f>
        <v>128661428.57142855</v>
      </c>
      <c r="P4" s="55"/>
      <c r="Q4" s="56"/>
      <c r="R4" s="56"/>
      <c r="S4" s="56"/>
    </row>
    <row r="5" spans="1:19" ht="31.5" x14ac:dyDescent="0.25">
      <c r="A5" s="57" t="s">
        <v>101</v>
      </c>
      <c r="B5" s="52">
        <f>0.2*C5</f>
        <v>31522049.999999989</v>
      </c>
      <c r="C5" s="52">
        <f>70/100*D5</f>
        <v>157610249.99999994</v>
      </c>
      <c r="D5" s="52">
        <f>J5*N4</f>
        <v>225157499.99999994</v>
      </c>
      <c r="E5" s="52">
        <f>70/100*F5</f>
        <v>126088199.99999996</v>
      </c>
      <c r="F5" s="52">
        <f>J5*$N$3</f>
        <v>180125999.99999994</v>
      </c>
      <c r="G5" s="52">
        <f>F5*$P$2</f>
        <v>352295834.57999986</v>
      </c>
      <c r="H5" s="53" t="s">
        <v>102</v>
      </c>
      <c r="I5" s="54">
        <f>F5/$F$8</f>
        <v>0.41999999999999987</v>
      </c>
      <c r="J5" s="54">
        <v>0.75</v>
      </c>
      <c r="P5" s="56"/>
      <c r="Q5" s="56"/>
      <c r="R5" s="56"/>
      <c r="S5" s="56"/>
    </row>
    <row r="6" spans="1:19" ht="47.25" x14ac:dyDescent="0.25">
      <c r="A6" s="58" t="s">
        <v>103</v>
      </c>
      <c r="B6" s="52">
        <f>0.2*C6</f>
        <v>18012599.999999996</v>
      </c>
      <c r="C6" s="52">
        <f>70/100*D6</f>
        <v>90062999.999999985</v>
      </c>
      <c r="D6" s="52">
        <f>O4</f>
        <v>128661428.57142855</v>
      </c>
      <c r="E6" s="52">
        <f>70/100*F6</f>
        <v>72050399.999999985</v>
      </c>
      <c r="F6" s="52">
        <f>O3</f>
        <v>102929142.85714284</v>
      </c>
      <c r="G6" s="52">
        <f>F6*$P$2</f>
        <v>201311905.47428566</v>
      </c>
      <c r="H6" s="53" t="s">
        <v>104</v>
      </c>
      <c r="I6" s="54">
        <f>F6/$F$8</f>
        <v>0.23999999999999996</v>
      </c>
    </row>
    <row r="7" spans="1:19" ht="31.5" x14ac:dyDescent="0.25">
      <c r="A7" s="59" t="s">
        <v>105</v>
      </c>
      <c r="B7" s="86">
        <f>E7-B4-B5-B6</f>
        <v>0</v>
      </c>
      <c r="C7" s="59"/>
      <c r="D7" s="59">
        <f>D4/70*100*1.95583-120000000</f>
        <v>89699901.535714239</v>
      </c>
      <c r="E7" s="52">
        <f>70/100*F7</f>
        <v>60042000</v>
      </c>
      <c r="F7" s="60">
        <f>L3</f>
        <v>85774285.714285716</v>
      </c>
      <c r="G7" s="52">
        <f>F7*$P$2</f>
        <v>167759921.22857141</v>
      </c>
      <c r="H7" s="61" t="s">
        <v>106</v>
      </c>
      <c r="I7" s="54">
        <f>F7/$F$8</f>
        <v>0.2</v>
      </c>
    </row>
    <row r="8" spans="1:19" x14ac:dyDescent="0.25">
      <c r="A8" s="62" t="s">
        <v>107</v>
      </c>
      <c r="B8" s="62"/>
      <c r="C8" s="62"/>
      <c r="D8" s="62"/>
      <c r="E8" s="50">
        <f>SUM(E4:E7)</f>
        <v>300209999.99999994</v>
      </c>
      <c r="F8" s="63">
        <f>SUM(F4:F7)</f>
        <v>428871428.57142854</v>
      </c>
      <c r="G8" s="63">
        <f>SUM(G4:G7)</f>
        <v>838799606.14285684</v>
      </c>
      <c r="H8" s="64"/>
    </row>
    <row r="9" spans="1:19" ht="51.75" customHeight="1" thickBot="1" x14ac:dyDescent="0.3">
      <c r="A9" s="465" t="s">
        <v>108</v>
      </c>
      <c r="B9" s="466"/>
      <c r="C9" s="466"/>
      <c r="D9" s="466"/>
      <c r="E9" s="466"/>
      <c r="F9" s="466"/>
      <c r="G9" s="466"/>
      <c r="H9" s="467"/>
      <c r="I9" s="46" t="s">
        <v>109</v>
      </c>
      <c r="J9" s="46"/>
      <c r="K9" s="65" t="s">
        <v>110</v>
      </c>
      <c r="L9" s="65" t="s">
        <v>111</v>
      </c>
      <c r="M9" s="65" t="s">
        <v>112</v>
      </c>
      <c r="N9" s="66" t="s">
        <v>113</v>
      </c>
      <c r="O9" s="65"/>
    </row>
    <row r="10" spans="1:19" ht="31.5" x14ac:dyDescent="0.25">
      <c r="A10" s="67" t="s">
        <v>114</v>
      </c>
      <c r="B10" s="67"/>
      <c r="C10" s="67"/>
      <c r="D10" s="67"/>
      <c r="E10" s="67"/>
      <c r="F10" s="68">
        <f>I10*K10</f>
        <v>106490914.2857143</v>
      </c>
      <c r="G10" s="68">
        <f t="shared" ref="G10:G15" si="0">F10*$P$2</f>
        <v>208278124.88742858</v>
      </c>
      <c r="H10" s="53" t="s">
        <v>115</v>
      </c>
      <c r="I10" s="54">
        <v>0.17</v>
      </c>
      <c r="K10" s="49">
        <v>626417142.85714293</v>
      </c>
      <c r="L10" s="49">
        <f>F16</f>
        <v>93962571.428571433</v>
      </c>
      <c r="M10" s="69">
        <f>I10+I11+I12</f>
        <v>0.55000000000000004</v>
      </c>
      <c r="N10" s="69">
        <f>I16+I15+I14+I13</f>
        <v>0.45</v>
      </c>
      <c r="O10" s="50"/>
    </row>
    <row r="11" spans="1:19" ht="31.5" x14ac:dyDescent="0.25">
      <c r="A11" s="70" t="s">
        <v>116</v>
      </c>
      <c r="B11" s="70"/>
      <c r="C11" s="70"/>
      <c r="D11" s="70"/>
      <c r="E11" s="70"/>
      <c r="F11" s="71">
        <f>I11*K10</f>
        <v>175396800.00000003</v>
      </c>
      <c r="G11" s="68">
        <f t="shared" si="0"/>
        <v>343046323.34400004</v>
      </c>
      <c r="H11" s="53" t="s">
        <v>117</v>
      </c>
      <c r="I11" s="54">
        <v>0.28000000000000003</v>
      </c>
    </row>
    <row r="12" spans="1:19" x14ac:dyDescent="0.25">
      <c r="A12" s="70" t="s">
        <v>118</v>
      </c>
      <c r="B12" s="70"/>
      <c r="C12" s="70"/>
      <c r="D12" s="70"/>
      <c r="E12" s="70"/>
      <c r="F12" s="71">
        <f>I12*K10</f>
        <v>62641714.285714298</v>
      </c>
      <c r="G12" s="68">
        <f t="shared" si="0"/>
        <v>122516544.0514286</v>
      </c>
      <c r="H12" s="53" t="s">
        <v>119</v>
      </c>
      <c r="I12" s="54">
        <v>0.1</v>
      </c>
    </row>
    <row r="13" spans="1:19" ht="31.5" x14ac:dyDescent="0.25">
      <c r="A13" s="70" t="s">
        <v>120</v>
      </c>
      <c r="B13" s="70"/>
      <c r="C13" s="70"/>
      <c r="D13" s="70"/>
      <c r="E13" s="70"/>
      <c r="F13" s="71">
        <f>I13*K10</f>
        <v>31320857.142857149</v>
      </c>
      <c r="G13" s="68">
        <f t="shared" si="0"/>
        <v>61258272.025714301</v>
      </c>
      <c r="H13" s="53" t="s">
        <v>121</v>
      </c>
      <c r="I13" s="54">
        <v>0.05</v>
      </c>
    </row>
    <row r="14" spans="1:19" x14ac:dyDescent="0.25">
      <c r="A14" s="58" t="s">
        <v>122</v>
      </c>
      <c r="B14" s="58"/>
      <c r="C14" s="58"/>
      <c r="D14" s="58"/>
      <c r="E14" s="58"/>
      <c r="F14" s="71">
        <f>I14*K10</f>
        <v>62641714.285714298</v>
      </c>
      <c r="G14" s="68">
        <f t="shared" si="0"/>
        <v>122516544.0514286</v>
      </c>
      <c r="H14" s="53" t="s">
        <v>123</v>
      </c>
      <c r="I14" s="54">
        <v>0.1</v>
      </c>
    </row>
    <row r="15" spans="1:19" ht="31.5" x14ac:dyDescent="0.25">
      <c r="A15" s="70" t="s">
        <v>124</v>
      </c>
      <c r="B15" s="70"/>
      <c r="C15" s="70"/>
      <c r="D15" s="70"/>
      <c r="E15" s="70"/>
      <c r="F15" s="71">
        <f>I15*K10</f>
        <v>93962571.428571433</v>
      </c>
      <c r="G15" s="68">
        <f t="shared" si="0"/>
        <v>183774816.07714286</v>
      </c>
      <c r="H15" s="53" t="s">
        <v>125</v>
      </c>
      <c r="I15" s="54">
        <v>0.15</v>
      </c>
    </row>
    <row r="16" spans="1:19" ht="31.5" x14ac:dyDescent="0.25">
      <c r="A16" s="70" t="s">
        <v>126</v>
      </c>
      <c r="B16" s="70"/>
      <c r="C16" s="70"/>
      <c r="D16" s="70"/>
      <c r="E16" s="70"/>
      <c r="F16" s="71">
        <f>I16*K10</f>
        <v>93962571.428571433</v>
      </c>
      <c r="G16" s="68">
        <f>F16*$P$2</f>
        <v>183774816.07714286</v>
      </c>
      <c r="H16" s="53" t="s">
        <v>127</v>
      </c>
      <c r="I16" s="54">
        <v>0.15</v>
      </c>
    </row>
    <row r="17" spans="1:15" x14ac:dyDescent="0.25">
      <c r="A17" s="62" t="s">
        <v>128</v>
      </c>
      <c r="B17" s="62"/>
      <c r="C17" s="62"/>
      <c r="D17" s="62"/>
      <c r="E17" s="62"/>
      <c r="F17" s="63">
        <f>SUM(F10:F16)</f>
        <v>626417142.85714304</v>
      </c>
      <c r="G17" s="63">
        <f>F17*$P$2</f>
        <v>1225165440.514286</v>
      </c>
      <c r="H17" s="72"/>
    </row>
    <row r="18" spans="1:15" ht="47.25" x14ac:dyDescent="0.25">
      <c r="A18" s="455" t="s">
        <v>129</v>
      </c>
      <c r="B18" s="456"/>
      <c r="C18" s="456"/>
      <c r="D18" s="456"/>
      <c r="E18" s="456"/>
      <c r="F18" s="456"/>
      <c r="G18" s="456"/>
      <c r="H18" s="457"/>
      <c r="I18" s="46" t="s">
        <v>130</v>
      </c>
      <c r="J18" s="46"/>
      <c r="K18" s="65" t="s">
        <v>131</v>
      </c>
      <c r="L18" s="65" t="s">
        <v>132</v>
      </c>
      <c r="M18" s="65" t="s">
        <v>133</v>
      </c>
      <c r="N18" s="66" t="s">
        <v>134</v>
      </c>
      <c r="O18" s="65"/>
    </row>
    <row r="19" spans="1:15" ht="31.5" x14ac:dyDescent="0.25">
      <c r="A19" s="70" t="s">
        <v>135</v>
      </c>
      <c r="B19" s="70"/>
      <c r="C19" s="70"/>
      <c r="D19" s="70"/>
      <c r="E19" s="70"/>
      <c r="F19" s="71">
        <f>I19*K19</f>
        <v>146164000</v>
      </c>
      <c r="G19" s="71">
        <f t="shared" ref="G19:G30" si="1">F19*$P$2</f>
        <v>285871936.12</v>
      </c>
      <c r="H19" s="53" t="s">
        <v>136</v>
      </c>
      <c r="I19" s="54">
        <v>0.35</v>
      </c>
      <c r="K19" s="49">
        <v>417611428.5714286</v>
      </c>
      <c r="L19" s="49">
        <f>F25</f>
        <v>57820285.714285731</v>
      </c>
      <c r="M19" s="69">
        <f>I19+I20+I21+I22</f>
        <v>0.75</v>
      </c>
      <c r="N19" s="69">
        <f>I23+I24+I25</f>
        <v>0.25</v>
      </c>
      <c r="O19" s="50"/>
    </row>
    <row r="20" spans="1:15" ht="47.25" x14ac:dyDescent="0.25">
      <c r="A20" s="70" t="s">
        <v>137</v>
      </c>
      <c r="B20" s="70"/>
      <c r="C20" s="70"/>
      <c r="D20" s="70"/>
      <c r="E20" s="70"/>
      <c r="F20" s="71">
        <f>I20*K19</f>
        <v>83522285.714285731</v>
      </c>
      <c r="G20" s="71">
        <f t="shared" si="1"/>
        <v>163355392.06857145</v>
      </c>
      <c r="H20" s="53" t="s">
        <v>138</v>
      </c>
      <c r="I20" s="54">
        <v>0.2</v>
      </c>
    </row>
    <row r="21" spans="1:15" ht="47.25" x14ac:dyDescent="0.25">
      <c r="A21" s="70" t="s">
        <v>139</v>
      </c>
      <c r="B21" s="70"/>
      <c r="C21" s="70"/>
      <c r="D21" s="70"/>
      <c r="E21" s="70"/>
      <c r="F21" s="71">
        <f>I21*K19</f>
        <v>41761142.857142866</v>
      </c>
      <c r="G21" s="71">
        <f t="shared" si="1"/>
        <v>81677696.034285724</v>
      </c>
      <c r="H21" s="53" t="s">
        <v>140</v>
      </c>
      <c r="I21" s="54">
        <v>0.1</v>
      </c>
    </row>
    <row r="22" spans="1:15" x14ac:dyDescent="0.25">
      <c r="A22" s="70" t="s">
        <v>141</v>
      </c>
      <c r="B22" s="70"/>
      <c r="C22" s="70"/>
      <c r="D22" s="70"/>
      <c r="E22" s="70"/>
      <c r="F22" s="71">
        <f>I22*K19</f>
        <v>41761142.857142866</v>
      </c>
      <c r="G22" s="71">
        <f t="shared" si="1"/>
        <v>81677696.034285724</v>
      </c>
      <c r="H22" s="53" t="s">
        <v>142</v>
      </c>
      <c r="I22" s="54">
        <v>0.1</v>
      </c>
    </row>
    <row r="23" spans="1:15" x14ac:dyDescent="0.25">
      <c r="A23" s="70" t="s">
        <v>143</v>
      </c>
      <c r="B23" s="70"/>
      <c r="C23" s="70"/>
      <c r="D23" s="70"/>
      <c r="E23" s="70"/>
      <c r="F23" s="71">
        <f>I23*K19</f>
        <v>20880571.428571433</v>
      </c>
      <c r="G23" s="71">
        <f>F23*$P$2</f>
        <v>40838848.017142862</v>
      </c>
      <c r="H23" s="53" t="s">
        <v>144</v>
      </c>
      <c r="I23" s="54">
        <v>0.05</v>
      </c>
    </row>
    <row r="24" spans="1:15" x14ac:dyDescent="0.25">
      <c r="A24" s="70" t="s">
        <v>145</v>
      </c>
      <c r="B24" s="70"/>
      <c r="C24" s="70"/>
      <c r="D24" s="70"/>
      <c r="E24" s="70"/>
      <c r="F24" s="71">
        <f>I24*K19</f>
        <v>25701999.999999989</v>
      </c>
      <c r="G24" s="71">
        <f>F24*$P$2</f>
        <v>50268742.659999974</v>
      </c>
      <c r="H24" s="53" t="s">
        <v>146</v>
      </c>
      <c r="I24" s="54">
        <f>20%-I25</f>
        <v>6.1545250540488733E-2</v>
      </c>
    </row>
    <row r="25" spans="1:15" ht="47.25" x14ac:dyDescent="0.25">
      <c r="A25" s="70" t="s">
        <v>147</v>
      </c>
      <c r="B25" s="70"/>
      <c r="C25" s="70"/>
      <c r="D25" s="70"/>
      <c r="E25" s="70"/>
      <c r="F25" s="71">
        <f>F33-F16</f>
        <v>57820285.714285731</v>
      </c>
      <c r="G25" s="71">
        <f t="shared" si="1"/>
        <v>113086649.40857147</v>
      </c>
      <c r="H25" s="53" t="s">
        <v>148</v>
      </c>
      <c r="I25" s="73">
        <f>F25/K19</f>
        <v>0.13845474945951128</v>
      </c>
      <c r="K25" s="65" t="s">
        <v>149</v>
      </c>
      <c r="L25" s="65" t="s">
        <v>150</v>
      </c>
      <c r="M25" s="65" t="s">
        <v>151</v>
      </c>
      <c r="N25" s="66" t="s">
        <v>152</v>
      </c>
      <c r="O25" s="65"/>
    </row>
    <row r="26" spans="1:15" x14ac:dyDescent="0.25">
      <c r="A26" s="62" t="s">
        <v>153</v>
      </c>
      <c r="B26" s="62"/>
      <c r="C26" s="62"/>
      <c r="D26" s="62"/>
      <c r="E26" s="62"/>
      <c r="F26" s="63">
        <f>SUM(F19:F25)</f>
        <v>417611428.57142866</v>
      </c>
      <c r="G26" s="63">
        <f t="shared" si="1"/>
        <v>816776960.34285724</v>
      </c>
      <c r="H26" s="72"/>
      <c r="I26" s="54"/>
      <c r="K26" s="49">
        <f>K10+K19</f>
        <v>1044028571.4285715</v>
      </c>
      <c r="L26" s="49">
        <f>L19+L10</f>
        <v>151782857.14285716</v>
      </c>
      <c r="M26" s="69">
        <f>(F10+F11+F12+F19+F20+F21+F22)/K26</f>
        <v>0.63000000000000023</v>
      </c>
      <c r="N26" s="69">
        <f>(F13+F14+F15+F16+F23+F24+F25)/K26</f>
        <v>0.37</v>
      </c>
      <c r="O26" s="50"/>
    </row>
    <row r="27" spans="1:15" ht="15.75" customHeight="1" x14ac:dyDescent="0.25">
      <c r="A27" s="455" t="s">
        <v>154</v>
      </c>
      <c r="B27" s="456"/>
      <c r="C27" s="456"/>
      <c r="D27" s="456"/>
      <c r="E27" s="456"/>
      <c r="F27" s="456"/>
      <c r="G27" s="456"/>
      <c r="H27" s="457"/>
      <c r="I27" s="54"/>
    </row>
    <row r="28" spans="1:15" x14ac:dyDescent="0.25">
      <c r="A28" s="62" t="s">
        <v>155</v>
      </c>
      <c r="B28" s="62"/>
      <c r="C28" s="62"/>
      <c r="D28" s="62"/>
      <c r="E28" s="62"/>
      <c r="F28" s="63">
        <v>44928571.428571425</v>
      </c>
      <c r="G28" s="63">
        <f>F28*1.95583</f>
        <v>87872647.857142851</v>
      </c>
      <c r="H28" s="72"/>
      <c r="I28" s="54"/>
    </row>
    <row r="29" spans="1:15" ht="31.5" x14ac:dyDescent="0.25">
      <c r="A29" s="74" t="s">
        <v>156</v>
      </c>
      <c r="B29" s="74"/>
      <c r="C29" s="74"/>
      <c r="D29" s="74"/>
      <c r="E29" s="74"/>
      <c r="F29" s="75">
        <f>F26+F17+F28</f>
        <v>1088957142.8571432</v>
      </c>
      <c r="G29" s="75">
        <f t="shared" si="1"/>
        <v>2129815048.7142863</v>
      </c>
      <c r="H29" s="75"/>
      <c r="I29" s="54"/>
      <c r="K29" s="65" t="s">
        <v>157</v>
      </c>
      <c r="L29" s="65" t="s">
        <v>158</v>
      </c>
    </row>
    <row r="30" spans="1:15" ht="30" customHeight="1" x14ac:dyDescent="0.25">
      <c r="A30" s="74" t="s">
        <v>159</v>
      </c>
      <c r="B30" s="74"/>
      <c r="C30" s="74"/>
      <c r="D30" s="74"/>
      <c r="E30" s="74"/>
      <c r="F30" s="75">
        <f>F29+F8</f>
        <v>1517828571.4285717</v>
      </c>
      <c r="G30" s="75">
        <f t="shared" si="1"/>
        <v>2968614654.8571434</v>
      </c>
      <c r="H30" s="75"/>
      <c r="I30" s="54"/>
      <c r="K30" s="49">
        <v>1517828571.4285715</v>
      </c>
      <c r="L30" s="76">
        <f>L26/K30</f>
        <v>0.1</v>
      </c>
    </row>
    <row r="32" spans="1:15" x14ac:dyDescent="0.25">
      <c r="L32" s="77"/>
    </row>
    <row r="33" spans="6:7" x14ac:dyDescent="0.25">
      <c r="F33" s="77">
        <v>151782857.14285716</v>
      </c>
      <c r="G33" s="77">
        <f>F33*1.95583</f>
        <v>296861465.48571432</v>
      </c>
    </row>
  </sheetData>
  <customSheetViews>
    <customSheetView guid="{6BEE494D-3BDB-46C2-9750-A57C1F94B9B8}" scale="80" showPageBreaks="1" fitToPage="1" printArea="1" state="hidden" view="pageBreakPreview">
      <selection activeCell="A24" sqref="A24"/>
      <pageMargins left="0.7" right="0.7" top="0.75" bottom="0.75" header="0.3" footer="0.3"/>
      <pageSetup paperSize="9" scale="31" orientation="landscape" r:id="rId1"/>
    </customSheetView>
    <customSheetView guid="{B426F9F8-EB1A-4D7B-9478-7E22D414CC12}" scale="80" showPageBreaks="1" fitToPage="1" printArea="1" state="hidden" view="pageBreakPreview">
      <selection activeCell="A24" sqref="A24"/>
      <pageMargins left="0.7" right="0.7" top="0.75" bottom="0.75" header="0.3" footer="0.3"/>
      <pageSetup paperSize="9" scale="31" orientation="landscape" r:id="rId2"/>
    </customSheetView>
    <customSheetView guid="{13EBDE9D-EC74-4522-9EED-363E735B4A78}" scale="80" showPageBreaks="1" fitToPage="1" printArea="1" state="hidden" view="pageBreakPreview">
      <selection activeCell="A24" sqref="A24"/>
      <pageMargins left="0.7" right="0.7" top="0.75" bottom="0.75" header="0.3" footer="0.3"/>
      <pageSetup paperSize="9" scale="31" orientation="landscape" r:id="rId3"/>
    </customSheetView>
    <customSheetView guid="{F67C426D-26F1-4B15-961D-40AFD17A9EE3}" scale="80" showPageBreaks="1" fitToPage="1" printArea="1" state="hidden" view="pageBreakPreview">
      <selection activeCell="A24" sqref="A24"/>
      <pageMargins left="0.7" right="0.7" top="0.75" bottom="0.75" header="0.3" footer="0.3"/>
      <pageSetup paperSize="9" scale="31" orientation="landscape" r:id="rId4"/>
    </customSheetView>
    <customSheetView guid="{B777B674-73ED-4225-A0AA-917FDFF5A819}" scale="80" showPageBreaks="1" fitToPage="1" printArea="1" state="hidden" view="pageBreakPreview">
      <selection activeCell="A24" sqref="A24"/>
      <pageMargins left="0.7" right="0.7" top="0.75" bottom="0.75" header="0.3" footer="0.3"/>
      <pageSetup paperSize="9" scale="31" orientation="landscape" r:id="rId5"/>
    </customSheetView>
    <customSheetView guid="{DE1004AE-EE6B-445B-9B87-77176E699CEC}" scale="80" showPageBreaks="1" fitToPage="1" printArea="1" state="hidden" view="pageBreakPreview">
      <selection activeCell="A24" sqref="A24"/>
      <pageMargins left="0.7" right="0.7" top="0.75" bottom="0.75" header="0.3" footer="0.3"/>
      <pageSetup paperSize="9" scale="31" orientation="landscape" r:id="rId6"/>
    </customSheetView>
    <customSheetView guid="{7FBA698A-B4F9-473C-A697-22EC99EC7386}" scale="80" showPageBreaks="1" fitToPage="1" printArea="1" state="hidden" view="pageBreakPreview">
      <selection activeCell="A24" sqref="A24"/>
      <pageMargins left="0.7" right="0.7" top="0.75" bottom="0.75" header="0.3" footer="0.3"/>
      <pageSetup paperSize="9" scale="31" orientation="landscape" r:id="rId7"/>
    </customSheetView>
    <customSheetView guid="{53CF95D2-2F99-49E8-AB7F-7627DCDE0DC8}" scale="80" showPageBreaks="1" fitToPage="1" printArea="1" state="hidden" view="pageBreakPreview">
      <selection activeCell="A24" sqref="A24"/>
      <pageMargins left="0.7" right="0.7" top="0.75" bottom="0.75" header="0.3" footer="0.3"/>
      <pageSetup paperSize="9" scale="31" orientation="landscape" r:id="rId8"/>
    </customSheetView>
    <customSheetView guid="{AD504361-49F3-4986-BDBF-FB73E2299976}" scale="80" showPageBreaks="1" fitToPage="1" printArea="1" state="hidden" view="pageBreakPreview">
      <selection activeCell="A24" sqref="A24"/>
      <pageMargins left="0.7" right="0.7" top="0.75" bottom="0.75" header="0.3" footer="0.3"/>
      <pageSetup paperSize="9" scale="31" orientation="landscape" r:id="rId9"/>
    </customSheetView>
    <customSheetView guid="{DD0EA6D3-BC8C-40D3-B12F-B88059C8E3DC}" scale="80" showPageBreaks="1" fitToPage="1" printArea="1" state="hidden" view="pageBreakPreview">
      <selection activeCell="A24" sqref="A24"/>
      <pageMargins left="0.7" right="0.7" top="0.75" bottom="0.75" header="0.3" footer="0.3"/>
      <pageSetup paperSize="9" scale="31" orientation="landscape" r:id="rId10"/>
    </customSheetView>
    <customSheetView guid="{72B67681-E295-44ED-80A6-F4B618B242B1}" scale="80" showPageBreaks="1" state="hidden" view="pageBreakPreview">
      <selection activeCell="A24" sqref="A24"/>
    </customSheetView>
    <customSheetView guid="{9CD5F6CE-0E1C-42DA-A598-93523B740CBC}" scale="80" showPageBreaks="1" fitToPage="1" printArea="1" state="hidden" view="pageBreakPreview">
      <selection activeCell="A24" sqref="A24"/>
      <pageMargins left="0.7" right="0.7" top="0.75" bottom="0.75" header="0.3" footer="0.3"/>
      <pageSetup paperSize="9" scale="31" orientation="landscape" r:id="rId11"/>
    </customSheetView>
    <customSheetView guid="{E07B67F4-8A17-4050-B9B8-81977BCB02E2}" scale="80" showPageBreaks="1" fitToPage="1" printArea="1" state="hidden" view="pageBreakPreview">
      <selection activeCell="A24" sqref="A24"/>
      <pageMargins left="0.7" right="0.7" top="0.75" bottom="0.75" header="0.3" footer="0.3"/>
      <pageSetup paperSize="9" scale="31" orientation="landscape" r:id="rId12"/>
    </customSheetView>
    <customSheetView guid="{2A6315F5-C9A2-43A7-B337-00FD30A3EB26}" scale="80" showPageBreaks="1" fitToPage="1" printArea="1" state="hidden" view="pageBreakPreview">
      <selection activeCell="A24" sqref="A24"/>
      <pageMargins left="0.7" right="0.7" top="0.75" bottom="0.75" header="0.3" footer="0.3"/>
      <pageSetup paperSize="9" scale="31" orientation="landscape" r:id="rId13"/>
    </customSheetView>
    <customSheetView guid="{D1BD168D-40B4-46AB-88B7-64C22520CFA0}" scale="80" showPageBreaks="1" fitToPage="1" printArea="1" state="hidden" view="pageBreakPreview">
      <selection activeCell="A24" sqref="A24"/>
      <pageMargins left="0.7" right="0.7" top="0.75" bottom="0.75" header="0.3" footer="0.3"/>
      <pageSetup paperSize="9" scale="31" orientation="landscape" r:id="rId14"/>
    </customSheetView>
    <customSheetView guid="{56BC42A3-D967-4F27-BD5A-CB0B8CB7F657}" scale="80" showPageBreaks="1" fitToPage="1" printArea="1" state="hidden" view="pageBreakPreview">
      <selection activeCell="A24" sqref="A24"/>
      <pageMargins left="0.7" right="0.7" top="0.75" bottom="0.75" header="0.3" footer="0.3"/>
      <pageSetup paperSize="9" scale="31" orientation="landscape" r:id="rId15"/>
    </customSheetView>
    <customSheetView guid="{DE419AE1-55C7-41E8-9A94-E4062EF30970}" scale="80" showPageBreaks="1" fitToPage="1" printArea="1" state="hidden" view="pageBreakPreview">
      <selection activeCell="A24" sqref="A24"/>
      <pageMargins left="0.7" right="0.7" top="0.75" bottom="0.75" header="0.3" footer="0.3"/>
      <pageSetup paperSize="9" scale="31" orientation="landscape" r:id="rId16"/>
    </customSheetView>
    <customSheetView guid="{6B77031E-918C-40F9-A42D-E4EA46622624}" scale="80" showPageBreaks="1" fitToPage="1" printArea="1" state="hidden" view="pageBreakPreview">
      <selection activeCell="A24" sqref="A24"/>
      <pageMargins left="0.7" right="0.7" top="0.75" bottom="0.75" header="0.3" footer="0.3"/>
      <pageSetup paperSize="9" scale="31" orientation="landscape" r:id="rId17"/>
    </customSheetView>
    <customSheetView guid="{77799D3C-38E2-410A-80FA-AECD8E6AB89B}" scale="80" showPageBreaks="1" fitToPage="1" printArea="1" state="hidden" view="pageBreakPreview">
      <selection activeCell="A24" sqref="A24"/>
      <pageMargins left="0.7" right="0.7" top="0.75" bottom="0.75" header="0.3" footer="0.3"/>
      <pageSetup paperSize="9" scale="31" orientation="landscape" r:id="rId18"/>
    </customSheetView>
    <customSheetView guid="{32A281B9-28FB-4D0E-8C01-BFBADAC8C3C9}" scale="80" showPageBreaks="1" fitToPage="1" printArea="1" state="hidden" view="pageBreakPreview">
      <selection activeCell="A24" sqref="A24"/>
      <pageMargins left="0.7" right="0.7" top="0.75" bottom="0.75" header="0.3" footer="0.3"/>
      <pageSetup paperSize="9" scale="31" orientation="landscape" r:id="rId19"/>
    </customSheetView>
  </customSheetViews>
  <mergeCells count="6">
    <mergeCell ref="A27:H27"/>
    <mergeCell ref="A1:H1"/>
    <mergeCell ref="K1:O1"/>
    <mergeCell ref="A3:H3"/>
    <mergeCell ref="A9:H9"/>
    <mergeCell ref="A18:H18"/>
  </mergeCells>
  <pageMargins left="0.7" right="0.7" top="0.75" bottom="0.75" header="0.3" footer="0.3"/>
  <pageSetup paperSize="9" scale="31" orientation="landscape" r:id="rId2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S91"/>
  <sheetViews>
    <sheetView tabSelected="1" zoomScale="120" zoomScaleNormal="120" zoomScaleSheetLayoutView="100" workbookViewId="0">
      <selection activeCell="D60" sqref="D60"/>
    </sheetView>
  </sheetViews>
  <sheetFormatPr defaultColWidth="21.42578125" defaultRowHeight="12" x14ac:dyDescent="0.2"/>
  <cols>
    <col min="1" max="1" width="17" style="248" customWidth="1"/>
    <col min="2" max="2" width="5.7109375" style="249" customWidth="1"/>
    <col min="3" max="3" width="10.140625" style="250" bestFit="1" customWidth="1"/>
    <col min="4" max="4" width="10.5703125" style="250" bestFit="1" customWidth="1"/>
    <col min="5" max="5" width="37.7109375" style="248" customWidth="1"/>
    <col min="6" max="6" width="64.42578125" style="251" customWidth="1"/>
    <col min="7" max="7" width="9.7109375" style="252" customWidth="1"/>
    <col min="8" max="8" width="106.42578125" style="248" customWidth="1"/>
    <col min="9" max="9" width="42.7109375" style="248" customWidth="1"/>
    <col min="10" max="10" width="14.85546875" style="248" customWidth="1"/>
    <col min="11" max="11" width="11.7109375" style="409" customWidth="1"/>
    <col min="12" max="12" width="12.28515625" style="409" customWidth="1"/>
    <col min="13" max="13" width="11.140625" style="248" customWidth="1"/>
    <col min="14" max="14" width="10.7109375" style="308" customWidth="1"/>
    <col min="15" max="15" width="12.7109375" style="308" customWidth="1"/>
    <col min="16" max="18" width="13.42578125" style="308" customWidth="1"/>
    <col min="19" max="19" width="11.7109375" style="308" customWidth="1"/>
    <col min="20" max="16384" width="21.42578125" style="253"/>
  </cols>
  <sheetData>
    <row r="1" spans="1:19" s="304" customFormat="1" ht="107.25" customHeight="1" x14ac:dyDescent="0.25">
      <c r="A1" s="271" t="s">
        <v>312</v>
      </c>
      <c r="B1" s="272" t="s">
        <v>301</v>
      </c>
      <c r="C1" s="272" t="s">
        <v>302</v>
      </c>
      <c r="D1" s="272" t="s">
        <v>299</v>
      </c>
      <c r="E1" s="272" t="s">
        <v>313</v>
      </c>
      <c r="F1" s="272" t="s">
        <v>314</v>
      </c>
      <c r="G1" s="273" t="s">
        <v>311</v>
      </c>
      <c r="H1" s="272" t="s">
        <v>315</v>
      </c>
      <c r="I1" s="272" t="s">
        <v>316</v>
      </c>
      <c r="J1" s="212" t="s">
        <v>399</v>
      </c>
      <c r="K1" s="410" t="s">
        <v>317</v>
      </c>
      <c r="L1" s="410" t="s">
        <v>318</v>
      </c>
      <c r="M1" s="243" t="s">
        <v>319</v>
      </c>
      <c r="N1" s="243" t="s">
        <v>321</v>
      </c>
      <c r="O1" s="243" t="s">
        <v>322</v>
      </c>
      <c r="P1" s="243" t="s">
        <v>323</v>
      </c>
      <c r="Q1" s="243" t="s">
        <v>324</v>
      </c>
      <c r="R1" s="243" t="s">
        <v>325</v>
      </c>
      <c r="S1" s="309" t="s">
        <v>327</v>
      </c>
    </row>
    <row r="2" spans="1:19" s="305" customFormat="1" ht="19.5" customHeight="1" x14ac:dyDescent="0.25">
      <c r="A2" s="274">
        <v>1</v>
      </c>
      <c r="B2" s="241">
        <v>2</v>
      </c>
      <c r="C2" s="403">
        <v>3</v>
      </c>
      <c r="D2" s="242">
        <v>4</v>
      </c>
      <c r="E2" s="241">
        <v>5</v>
      </c>
      <c r="F2" s="241">
        <v>5</v>
      </c>
      <c r="G2" s="241">
        <v>6</v>
      </c>
      <c r="H2" s="241">
        <v>7</v>
      </c>
      <c r="I2" s="241">
        <v>8</v>
      </c>
      <c r="J2" s="230">
        <v>9</v>
      </c>
      <c r="K2" s="411">
        <v>10</v>
      </c>
      <c r="L2" s="411">
        <v>11</v>
      </c>
      <c r="M2" s="244">
        <v>12</v>
      </c>
      <c r="N2" s="244">
        <v>13</v>
      </c>
      <c r="O2" s="244">
        <v>14</v>
      </c>
      <c r="P2" s="244">
        <v>15</v>
      </c>
      <c r="Q2" s="244">
        <v>16</v>
      </c>
      <c r="R2" s="244">
        <v>17</v>
      </c>
      <c r="S2" s="213">
        <v>19</v>
      </c>
    </row>
    <row r="3" spans="1:19" s="307" customFormat="1" ht="216" x14ac:dyDescent="0.25">
      <c r="A3" s="332" t="s">
        <v>298</v>
      </c>
      <c r="B3" s="333" t="s">
        <v>300</v>
      </c>
      <c r="C3" s="342">
        <f>'Подробно разпределение '!P3</f>
        <v>23</v>
      </c>
      <c r="D3" s="334">
        <f>'Подробно разпределение '!AD3</f>
        <v>66</v>
      </c>
      <c r="E3" s="335" t="s">
        <v>406</v>
      </c>
      <c r="F3" s="336" t="s">
        <v>418</v>
      </c>
      <c r="G3" s="337" t="s">
        <v>320</v>
      </c>
      <c r="H3" s="335" t="s">
        <v>419</v>
      </c>
      <c r="I3" s="335" t="s">
        <v>420</v>
      </c>
      <c r="J3" s="231">
        <v>181</v>
      </c>
      <c r="K3" s="268">
        <v>2981148.31</v>
      </c>
      <c r="L3" s="268">
        <v>7063314.1100000003</v>
      </c>
      <c r="M3" s="245"/>
      <c r="N3" s="338">
        <v>5</v>
      </c>
      <c r="O3" s="338">
        <v>5</v>
      </c>
      <c r="P3" s="338">
        <v>5</v>
      </c>
      <c r="Q3" s="338">
        <v>5</v>
      </c>
      <c r="R3" s="338">
        <v>5</v>
      </c>
      <c r="S3" s="338"/>
    </row>
    <row r="4" spans="1:19" ht="12" customHeight="1" x14ac:dyDescent="0.25">
      <c r="A4" s="414" t="s">
        <v>291</v>
      </c>
      <c r="B4" s="263" t="s">
        <v>300</v>
      </c>
      <c r="C4" s="260">
        <f>ROUND(C3/6,0)</f>
        <v>4</v>
      </c>
      <c r="D4" s="260">
        <f>ROUND(D3/6,0)</f>
        <v>11</v>
      </c>
      <c r="E4" s="276"/>
      <c r="F4" s="276"/>
      <c r="G4" s="277"/>
      <c r="H4" s="278"/>
      <c r="I4" s="278"/>
      <c r="J4" s="232" t="s">
        <v>291</v>
      </c>
      <c r="K4" s="266">
        <v>413254.76</v>
      </c>
      <c r="L4" s="266">
        <v>1154651.5200000005</v>
      </c>
      <c r="M4" s="246">
        <v>0.7</v>
      </c>
      <c r="N4" s="294"/>
      <c r="O4" s="294"/>
      <c r="P4" s="294"/>
      <c r="Q4" s="294"/>
      <c r="R4" s="294"/>
      <c r="S4" s="294"/>
    </row>
    <row r="5" spans="1:19" ht="24" x14ac:dyDescent="0.25">
      <c r="A5" s="414" t="s">
        <v>499</v>
      </c>
      <c r="B5" s="263" t="s">
        <v>300</v>
      </c>
      <c r="C5" s="260">
        <f>C3-C4</f>
        <v>19</v>
      </c>
      <c r="D5" s="260">
        <f>D3-D4</f>
        <v>55</v>
      </c>
      <c r="E5" s="276"/>
      <c r="F5" s="276"/>
      <c r="G5" s="277"/>
      <c r="H5" s="278"/>
      <c r="I5" s="278"/>
      <c r="J5" s="232" t="s">
        <v>289</v>
      </c>
      <c r="K5" s="267">
        <v>2567893.5499999998</v>
      </c>
      <c r="L5" s="266">
        <v>5908662.5899999999</v>
      </c>
      <c r="M5" s="246">
        <v>0.85</v>
      </c>
      <c r="N5" s="294"/>
      <c r="O5" s="294"/>
      <c r="P5" s="294"/>
      <c r="Q5" s="294"/>
      <c r="R5" s="294"/>
      <c r="S5" s="294"/>
    </row>
    <row r="6" spans="1:19" s="307" customFormat="1" ht="288" x14ac:dyDescent="0.25">
      <c r="A6" s="332" t="s">
        <v>305</v>
      </c>
      <c r="B6" s="334" t="s">
        <v>300</v>
      </c>
      <c r="C6" s="334">
        <f>'Подробно разпределение '!P4</f>
        <v>2</v>
      </c>
      <c r="D6" s="334">
        <f>'Подробно разпределение '!AD4</f>
        <v>10</v>
      </c>
      <c r="E6" s="335" t="s">
        <v>421</v>
      </c>
      <c r="F6" s="336" t="s">
        <v>422</v>
      </c>
      <c r="G6" s="337" t="s">
        <v>320</v>
      </c>
      <c r="H6" s="335" t="s">
        <v>423</v>
      </c>
      <c r="I6" s="335" t="s">
        <v>368</v>
      </c>
      <c r="J6" s="231">
        <v>181</v>
      </c>
      <c r="K6" s="268">
        <v>2330854.4699999997</v>
      </c>
      <c r="L6" s="268">
        <v>5522555.5800000001</v>
      </c>
      <c r="M6" s="245"/>
      <c r="N6" s="338">
        <v>5</v>
      </c>
      <c r="O6" s="338"/>
      <c r="P6" s="338"/>
      <c r="Q6" s="338"/>
      <c r="R6" s="338"/>
      <c r="S6" s="338"/>
    </row>
    <row r="7" spans="1:19" ht="12" customHeight="1" x14ac:dyDescent="0.25">
      <c r="A7" s="414" t="s">
        <v>291</v>
      </c>
      <c r="B7" s="263" t="s">
        <v>300</v>
      </c>
      <c r="C7" s="261">
        <f>ROUND(C6/6,2)</f>
        <v>0.33</v>
      </c>
      <c r="D7" s="261">
        <f>ROUND(D6/6,2)</f>
        <v>1.67</v>
      </c>
      <c r="E7" s="276"/>
      <c r="F7" s="276"/>
      <c r="G7" s="277"/>
      <c r="H7" s="278"/>
      <c r="I7" s="278"/>
      <c r="J7" s="232" t="s">
        <v>291</v>
      </c>
      <c r="K7" s="267">
        <v>323109.28999999998</v>
      </c>
      <c r="L7" s="267">
        <v>902781.2</v>
      </c>
      <c r="M7" s="246">
        <v>0.7</v>
      </c>
      <c r="N7" s="294"/>
      <c r="O7" s="294"/>
      <c r="P7" s="294"/>
      <c r="Q7" s="294"/>
      <c r="R7" s="294"/>
      <c r="S7" s="294"/>
    </row>
    <row r="8" spans="1:19" ht="14.25" customHeight="1" x14ac:dyDescent="0.25">
      <c r="A8" s="414" t="s">
        <v>499</v>
      </c>
      <c r="B8" s="263" t="s">
        <v>300</v>
      </c>
      <c r="C8" s="261">
        <f>C6-C7</f>
        <v>1.67</v>
      </c>
      <c r="D8" s="261">
        <f>D6-D7</f>
        <v>8.33</v>
      </c>
      <c r="E8" s="276"/>
      <c r="F8" s="276"/>
      <c r="G8" s="277"/>
      <c r="H8" s="278"/>
      <c r="I8" s="278"/>
      <c r="J8" s="232" t="s">
        <v>289</v>
      </c>
      <c r="K8" s="266">
        <v>2007745.18</v>
      </c>
      <c r="L8" s="267">
        <v>4619774.38</v>
      </c>
      <c r="M8" s="246">
        <v>0.85</v>
      </c>
      <c r="N8" s="294"/>
      <c r="O8" s="294"/>
      <c r="P8" s="294"/>
      <c r="Q8" s="294"/>
      <c r="R8" s="294"/>
      <c r="S8" s="294"/>
    </row>
    <row r="9" spans="1:19" s="307" customFormat="1" ht="204" x14ac:dyDescent="0.25">
      <c r="A9" s="332" t="s">
        <v>326</v>
      </c>
      <c r="B9" s="333" t="s">
        <v>300</v>
      </c>
      <c r="C9" s="342">
        <f>'Подробно разпределение '!P5</f>
        <v>25</v>
      </c>
      <c r="D9" s="334">
        <f>'Подробно разпределение '!AD5</f>
        <v>44</v>
      </c>
      <c r="E9" s="335" t="s">
        <v>400</v>
      </c>
      <c r="F9" s="336" t="s">
        <v>424</v>
      </c>
      <c r="G9" s="337" t="s">
        <v>320</v>
      </c>
      <c r="H9" s="335" t="s">
        <v>425</v>
      </c>
      <c r="I9" s="335" t="s">
        <v>401</v>
      </c>
      <c r="J9" s="231">
        <v>180</v>
      </c>
      <c r="K9" s="268">
        <v>5076362.38</v>
      </c>
      <c r="L9" s="268">
        <v>12027560.640000001</v>
      </c>
      <c r="M9" s="245"/>
      <c r="N9" s="338">
        <v>10</v>
      </c>
      <c r="O9" s="338">
        <v>10</v>
      </c>
      <c r="P9" s="338">
        <v>10</v>
      </c>
      <c r="Q9" s="338">
        <v>10</v>
      </c>
      <c r="R9" s="338">
        <v>10</v>
      </c>
      <c r="S9" s="338"/>
    </row>
    <row r="10" spans="1:19" ht="12" customHeight="1" x14ac:dyDescent="0.25">
      <c r="A10" s="414" t="s">
        <v>291</v>
      </c>
      <c r="B10" s="263" t="s">
        <v>300</v>
      </c>
      <c r="C10" s="261">
        <f>ROUND(C9/6,0)</f>
        <v>4</v>
      </c>
      <c r="D10" s="261">
        <f>ROUND(D9/6,0)</f>
        <v>7</v>
      </c>
      <c r="E10" s="276"/>
      <c r="F10" s="276"/>
      <c r="G10" s="277"/>
      <c r="H10" s="278"/>
      <c r="I10" s="278"/>
      <c r="J10" s="232" t="s">
        <v>291</v>
      </c>
      <c r="K10" s="267">
        <v>703698.95</v>
      </c>
      <c r="L10" s="267">
        <v>1966165.0200000014</v>
      </c>
      <c r="M10" s="246">
        <v>0.7</v>
      </c>
      <c r="N10" s="294"/>
      <c r="O10" s="294"/>
      <c r="P10" s="294"/>
      <c r="Q10" s="294"/>
      <c r="R10" s="294"/>
      <c r="S10" s="294"/>
    </row>
    <row r="11" spans="1:19" ht="24" x14ac:dyDescent="0.25">
      <c r="A11" s="414" t="s">
        <v>499</v>
      </c>
      <c r="B11" s="263" t="s">
        <v>300</v>
      </c>
      <c r="C11" s="261">
        <f>C9-C10</f>
        <v>21</v>
      </c>
      <c r="D11" s="261">
        <f>D9-D10</f>
        <v>37</v>
      </c>
      <c r="E11" s="276"/>
      <c r="F11" s="276"/>
      <c r="G11" s="277"/>
      <c r="H11" s="278"/>
      <c r="I11" s="278"/>
      <c r="J11" s="232" t="s">
        <v>289</v>
      </c>
      <c r="K11" s="266">
        <v>4372663.43</v>
      </c>
      <c r="L11" s="267">
        <v>10061395.619999999</v>
      </c>
      <c r="M11" s="246">
        <v>0.85</v>
      </c>
      <c r="N11" s="294"/>
      <c r="O11" s="294"/>
      <c r="P11" s="294"/>
      <c r="Q11" s="294"/>
      <c r="R11" s="294"/>
      <c r="S11" s="294"/>
    </row>
    <row r="12" spans="1:19" s="306" customFormat="1" ht="57.75" customHeight="1" x14ac:dyDescent="0.25">
      <c r="A12" s="247" t="s">
        <v>360</v>
      </c>
      <c r="B12" s="238" t="s">
        <v>300</v>
      </c>
      <c r="C12" s="404">
        <f>'Подробно разпределение '!P6</f>
        <v>493</v>
      </c>
      <c r="D12" s="239">
        <f>'Подробно разпределение '!AD6</f>
        <v>1719</v>
      </c>
      <c r="E12" s="214" t="s">
        <v>342</v>
      </c>
      <c r="F12" s="215" t="s">
        <v>409</v>
      </c>
      <c r="G12" s="240" t="s">
        <v>320</v>
      </c>
      <c r="H12" s="279" t="s">
        <v>343</v>
      </c>
      <c r="I12" s="214" t="s">
        <v>346</v>
      </c>
      <c r="J12" s="231">
        <v>180</v>
      </c>
      <c r="K12" s="217">
        <v>5281488.55</v>
      </c>
      <c r="L12" s="217">
        <v>12513571.5</v>
      </c>
      <c r="M12" s="245"/>
      <c r="N12" s="294"/>
      <c r="O12" s="294">
        <v>15</v>
      </c>
      <c r="P12" s="294">
        <v>15</v>
      </c>
      <c r="Q12" s="294">
        <v>15</v>
      </c>
      <c r="R12" s="294">
        <v>0</v>
      </c>
      <c r="S12" s="294"/>
    </row>
    <row r="13" spans="1:19" x14ac:dyDescent="0.25">
      <c r="A13" s="414" t="s">
        <v>291</v>
      </c>
      <c r="B13" s="263" t="s">
        <v>300</v>
      </c>
      <c r="C13" s="260">
        <f>ROUND(C12/6,0)</f>
        <v>82</v>
      </c>
      <c r="D13" s="260">
        <f>ROUND(D12/6,0)</f>
        <v>287</v>
      </c>
      <c r="E13" s="276"/>
      <c r="F13" s="276"/>
      <c r="G13" s="277"/>
      <c r="H13" s="278"/>
      <c r="I13" s="278"/>
      <c r="J13" s="232" t="s">
        <v>291</v>
      </c>
      <c r="K13" s="267">
        <v>732134.11</v>
      </c>
      <c r="L13" s="267">
        <v>2045614.0099999998</v>
      </c>
      <c r="M13" s="246">
        <v>0.7</v>
      </c>
      <c r="N13" s="294"/>
      <c r="O13" s="294"/>
      <c r="P13" s="294"/>
      <c r="Q13" s="294"/>
      <c r="R13" s="294"/>
      <c r="S13" s="294"/>
    </row>
    <row r="14" spans="1:19" ht="24" x14ac:dyDescent="0.25">
      <c r="A14" s="414" t="s">
        <v>499</v>
      </c>
      <c r="B14" s="263" t="s">
        <v>300</v>
      </c>
      <c r="C14" s="260">
        <f>C12-C13</f>
        <v>411</v>
      </c>
      <c r="D14" s="260">
        <f>D12-D13</f>
        <v>1432</v>
      </c>
      <c r="E14" s="323"/>
      <c r="F14" s="276"/>
      <c r="G14" s="277"/>
      <c r="H14" s="278"/>
      <c r="I14" s="278"/>
      <c r="J14" s="232" t="s">
        <v>289</v>
      </c>
      <c r="K14" s="267">
        <v>4549354.4399999995</v>
      </c>
      <c r="L14" s="267">
        <v>10467957.49</v>
      </c>
      <c r="M14" s="246">
        <v>0.85</v>
      </c>
      <c r="N14" s="294"/>
      <c r="O14" s="294"/>
      <c r="P14" s="294"/>
      <c r="Q14" s="294"/>
      <c r="R14" s="294"/>
      <c r="S14" s="294"/>
    </row>
    <row r="15" spans="1:19" s="307" customFormat="1" ht="248.25" customHeight="1" x14ac:dyDescent="0.25">
      <c r="A15" s="339" t="s">
        <v>413</v>
      </c>
      <c r="B15" s="333" t="s">
        <v>296</v>
      </c>
      <c r="C15" s="342">
        <v>92</v>
      </c>
      <c r="D15" s="334">
        <v>94</v>
      </c>
      <c r="E15" s="335" t="s">
        <v>414</v>
      </c>
      <c r="F15" s="335" t="s">
        <v>415</v>
      </c>
      <c r="G15" s="337" t="s">
        <v>320</v>
      </c>
      <c r="H15" s="340" t="s">
        <v>411</v>
      </c>
      <c r="I15" s="335" t="s">
        <v>410</v>
      </c>
      <c r="J15" s="231">
        <v>180</v>
      </c>
      <c r="K15" s="217">
        <v>1438622.64</v>
      </c>
      <c r="L15" s="217">
        <v>3408566.93</v>
      </c>
      <c r="M15" s="245"/>
      <c r="N15" s="338"/>
      <c r="O15" s="338"/>
      <c r="P15" s="338"/>
      <c r="Q15" s="338"/>
      <c r="R15" s="341">
        <v>61</v>
      </c>
      <c r="S15" s="338"/>
    </row>
    <row r="16" spans="1:19" x14ac:dyDescent="0.25">
      <c r="A16" s="414" t="s">
        <v>291</v>
      </c>
      <c r="B16" s="264" t="s">
        <v>296</v>
      </c>
      <c r="C16" s="262">
        <v>92</v>
      </c>
      <c r="D16" s="260">
        <v>94</v>
      </c>
      <c r="E16" s="276"/>
      <c r="F16" s="276"/>
      <c r="G16" s="277"/>
      <c r="H16" s="278"/>
      <c r="I16" s="278"/>
      <c r="J16" s="232" t="s">
        <v>291</v>
      </c>
      <c r="K16" s="267">
        <v>199425.73</v>
      </c>
      <c r="L16" s="267">
        <v>557204.01000000024</v>
      </c>
      <c r="M16" s="246">
        <v>0.7</v>
      </c>
      <c r="N16" s="294"/>
      <c r="O16" s="294"/>
      <c r="P16" s="294"/>
      <c r="Q16" s="294"/>
      <c r="R16" s="294"/>
      <c r="S16" s="294"/>
    </row>
    <row r="17" spans="1:19" ht="24" x14ac:dyDescent="0.25">
      <c r="A17" s="414" t="s">
        <v>499</v>
      </c>
      <c r="B17" s="264" t="s">
        <v>296</v>
      </c>
      <c r="C17" s="262">
        <v>92</v>
      </c>
      <c r="D17" s="260">
        <v>94</v>
      </c>
      <c r="E17" s="276"/>
      <c r="F17" s="276"/>
      <c r="G17" s="277"/>
      <c r="H17" s="278"/>
      <c r="I17" s="278"/>
      <c r="J17" s="232" t="s">
        <v>289</v>
      </c>
      <c r="K17" s="267">
        <v>1239196.9099999999</v>
      </c>
      <c r="L17" s="267">
        <v>2851362.92</v>
      </c>
      <c r="M17" s="246">
        <v>0.85</v>
      </c>
      <c r="N17" s="294"/>
      <c r="O17" s="294"/>
      <c r="P17" s="294"/>
      <c r="Q17" s="294"/>
      <c r="R17" s="294"/>
      <c r="S17" s="294"/>
    </row>
    <row r="18" spans="1:19" s="307" customFormat="1" ht="48" x14ac:dyDescent="0.25">
      <c r="A18" s="399" t="s">
        <v>361</v>
      </c>
      <c r="B18" s="333" t="s">
        <v>300</v>
      </c>
      <c r="C18" s="342">
        <f>'Подробно разпределение '!P8</f>
        <v>0</v>
      </c>
      <c r="D18" s="393">
        <f>'Подробно разпределение '!AD8</f>
        <v>0</v>
      </c>
      <c r="E18" s="394"/>
      <c r="F18" s="394"/>
      <c r="G18" s="395"/>
      <c r="H18" s="396"/>
      <c r="I18" s="394"/>
      <c r="J18" s="231">
        <v>180</v>
      </c>
      <c r="K18" s="217">
        <v>1792534.62</v>
      </c>
      <c r="L18" s="217">
        <v>4247100</v>
      </c>
      <c r="M18" s="245"/>
      <c r="N18" s="338"/>
      <c r="O18" s="338"/>
      <c r="P18" s="338"/>
      <c r="Q18" s="338"/>
      <c r="R18" s="341"/>
      <c r="S18" s="338"/>
    </row>
    <row r="19" spans="1:19" x14ac:dyDescent="0.25">
      <c r="A19" s="414" t="s">
        <v>291</v>
      </c>
      <c r="B19" s="263" t="s">
        <v>300</v>
      </c>
      <c r="C19" s="260">
        <f>ROUND(C18/6,2)</f>
        <v>0</v>
      </c>
      <c r="D19" s="261">
        <f>ROUND(D18/6,2)</f>
        <v>0</v>
      </c>
      <c r="E19" s="276"/>
      <c r="F19" s="276"/>
      <c r="G19" s="277"/>
      <c r="H19" s="278"/>
      <c r="I19" s="278"/>
      <c r="J19" s="232" t="s">
        <v>291</v>
      </c>
      <c r="K19" s="266">
        <v>248485.96000000002</v>
      </c>
      <c r="L19" s="266">
        <v>694280.39</v>
      </c>
      <c r="M19" s="246">
        <v>0.7</v>
      </c>
      <c r="N19" s="294"/>
      <c r="O19" s="294"/>
      <c r="P19" s="294"/>
      <c r="Q19" s="294"/>
      <c r="R19" s="294"/>
      <c r="S19" s="294"/>
    </row>
    <row r="20" spans="1:19" ht="24" x14ac:dyDescent="0.25">
      <c r="A20" s="414" t="s">
        <v>499</v>
      </c>
      <c r="B20" s="263" t="s">
        <v>300</v>
      </c>
      <c r="C20" s="260">
        <f>C18-C19</f>
        <v>0</v>
      </c>
      <c r="D20" s="261">
        <f>D18-D19</f>
        <v>0</v>
      </c>
      <c r="E20" s="276"/>
      <c r="F20" s="276"/>
      <c r="G20" s="277"/>
      <c r="H20" s="278"/>
      <c r="I20" s="278"/>
      <c r="J20" s="232" t="s">
        <v>289</v>
      </c>
      <c r="K20" s="266">
        <v>1544048.66</v>
      </c>
      <c r="L20" s="266">
        <v>3552819.61</v>
      </c>
      <c r="M20" s="246">
        <v>0.85</v>
      </c>
      <c r="N20" s="294"/>
      <c r="O20" s="294"/>
      <c r="P20" s="294"/>
      <c r="Q20" s="294"/>
      <c r="R20" s="294"/>
      <c r="S20" s="294"/>
    </row>
    <row r="21" spans="1:19" s="307" customFormat="1" ht="178.5" customHeight="1" x14ac:dyDescent="0.25">
      <c r="A21" s="332" t="s">
        <v>362</v>
      </c>
      <c r="B21" s="333" t="s">
        <v>300</v>
      </c>
      <c r="C21" s="342">
        <f>'Подробно разпределение '!P9</f>
        <v>25</v>
      </c>
      <c r="D21" s="342">
        <f>'Подробно разпределение '!AD9</f>
        <v>75</v>
      </c>
      <c r="E21" s="335" t="s">
        <v>426</v>
      </c>
      <c r="F21" s="343" t="s">
        <v>395</v>
      </c>
      <c r="G21" s="337" t="s">
        <v>320</v>
      </c>
      <c r="H21" s="335" t="s">
        <v>427</v>
      </c>
      <c r="I21" s="335" t="s">
        <v>347</v>
      </c>
      <c r="J21" s="231">
        <v>180</v>
      </c>
      <c r="K21" s="217">
        <v>5622120.3699999992</v>
      </c>
      <c r="L21" s="217">
        <v>13320639.6</v>
      </c>
      <c r="M21" s="245"/>
      <c r="N21" s="338">
        <v>8</v>
      </c>
      <c r="O21" s="338"/>
      <c r="P21" s="338"/>
      <c r="Q21" s="338"/>
      <c r="R21" s="338"/>
      <c r="S21" s="338"/>
    </row>
    <row r="22" spans="1:19" x14ac:dyDescent="0.25">
      <c r="A22" s="414" t="s">
        <v>291</v>
      </c>
      <c r="B22" s="263" t="s">
        <v>300</v>
      </c>
      <c r="C22" s="260">
        <f>ROUND(C21/6,0)</f>
        <v>4</v>
      </c>
      <c r="D22" s="260">
        <f>ROUND(D21/6,0)</f>
        <v>13</v>
      </c>
      <c r="E22" s="276"/>
      <c r="F22" s="276"/>
      <c r="G22" s="277"/>
      <c r="H22" s="278"/>
      <c r="I22" s="278"/>
      <c r="J22" s="232" t="s">
        <v>291</v>
      </c>
      <c r="K22" s="267">
        <v>779353.39</v>
      </c>
      <c r="L22" s="267">
        <v>2177546.7599999998</v>
      </c>
      <c r="M22" s="246">
        <v>0.7</v>
      </c>
      <c r="N22" s="294"/>
      <c r="O22" s="294"/>
      <c r="P22" s="294"/>
      <c r="Q22" s="294"/>
      <c r="R22" s="294"/>
      <c r="S22" s="294"/>
    </row>
    <row r="23" spans="1:19" ht="24" x14ac:dyDescent="0.25">
      <c r="A23" s="414" t="s">
        <v>499</v>
      </c>
      <c r="B23" s="263" t="s">
        <v>300</v>
      </c>
      <c r="C23" s="260">
        <f>C21-C22</f>
        <v>21</v>
      </c>
      <c r="D23" s="260">
        <f>D21-D22</f>
        <v>62</v>
      </c>
      <c r="E23" s="276"/>
      <c r="F23" s="276"/>
      <c r="G23" s="277"/>
      <c r="H23" s="278"/>
      <c r="I23" s="278"/>
      <c r="J23" s="232" t="s">
        <v>289</v>
      </c>
      <c r="K23" s="267">
        <v>4842766.9799999995</v>
      </c>
      <c r="L23" s="267">
        <v>11143092.84</v>
      </c>
      <c r="M23" s="246">
        <v>0.85</v>
      </c>
      <c r="N23" s="294"/>
      <c r="O23" s="294"/>
      <c r="P23" s="294"/>
      <c r="Q23" s="294"/>
      <c r="R23" s="294"/>
      <c r="S23" s="294"/>
    </row>
    <row r="24" spans="1:19" s="307" customFormat="1" ht="115.5" customHeight="1" x14ac:dyDescent="0.25">
      <c r="A24" s="332" t="s">
        <v>363</v>
      </c>
      <c r="B24" s="333" t="s">
        <v>296</v>
      </c>
      <c r="C24" s="342">
        <v>10</v>
      </c>
      <c r="D24" s="342">
        <v>30</v>
      </c>
      <c r="E24" s="335" t="s">
        <v>428</v>
      </c>
      <c r="F24" s="343" t="s">
        <v>402</v>
      </c>
      <c r="G24" s="337" t="s">
        <v>320</v>
      </c>
      <c r="H24" s="335" t="s">
        <v>403</v>
      </c>
      <c r="I24" s="335" t="s">
        <v>348</v>
      </c>
      <c r="J24" s="231">
        <v>180</v>
      </c>
      <c r="K24" s="217">
        <v>6013696.29</v>
      </c>
      <c r="L24" s="217">
        <v>14248410.890000001</v>
      </c>
      <c r="M24" s="245"/>
      <c r="N24" s="338">
        <v>8</v>
      </c>
      <c r="O24" s="338"/>
      <c r="P24" s="338"/>
      <c r="Q24" s="338"/>
      <c r="R24" s="338"/>
      <c r="S24" s="338"/>
    </row>
    <row r="25" spans="1:19" x14ac:dyDescent="0.25">
      <c r="A25" s="414" t="s">
        <v>291</v>
      </c>
      <c r="B25" s="264" t="s">
        <v>296</v>
      </c>
      <c r="C25" s="262">
        <v>10</v>
      </c>
      <c r="D25" s="260">
        <v>30</v>
      </c>
      <c r="E25" s="276"/>
      <c r="F25" s="276"/>
      <c r="G25" s="277"/>
      <c r="H25" s="278"/>
      <c r="I25" s="278"/>
      <c r="J25" s="232" t="s">
        <v>291</v>
      </c>
      <c r="K25" s="267">
        <v>833634.69</v>
      </c>
      <c r="L25" s="267">
        <v>2329211.0500000007</v>
      </c>
      <c r="M25" s="246">
        <v>0.7</v>
      </c>
      <c r="N25" s="294"/>
      <c r="O25" s="294"/>
      <c r="P25" s="294"/>
      <c r="Q25" s="294"/>
      <c r="R25" s="294"/>
      <c r="S25" s="294"/>
    </row>
    <row r="26" spans="1:19" ht="24" x14ac:dyDescent="0.25">
      <c r="A26" s="414" t="s">
        <v>499</v>
      </c>
      <c r="B26" s="264" t="s">
        <v>296</v>
      </c>
      <c r="C26" s="262">
        <v>10</v>
      </c>
      <c r="D26" s="260">
        <v>30</v>
      </c>
      <c r="E26" s="276"/>
      <c r="F26" s="276"/>
      <c r="G26" s="277"/>
      <c r="H26" s="278"/>
      <c r="I26" s="278"/>
      <c r="J26" s="232" t="s">
        <v>289</v>
      </c>
      <c r="K26" s="267">
        <v>5180061.5999999996</v>
      </c>
      <c r="L26" s="267">
        <v>11919199.84</v>
      </c>
      <c r="M26" s="246">
        <v>0.85</v>
      </c>
      <c r="N26" s="294"/>
      <c r="O26" s="294"/>
      <c r="P26" s="294"/>
      <c r="Q26" s="294"/>
      <c r="R26" s="294"/>
      <c r="S26" s="294"/>
    </row>
    <row r="27" spans="1:19" s="307" customFormat="1" ht="133.5" customHeight="1" x14ac:dyDescent="0.25">
      <c r="A27" s="332" t="s">
        <v>364</v>
      </c>
      <c r="B27" s="333" t="s">
        <v>296</v>
      </c>
      <c r="C27" s="342">
        <v>20</v>
      </c>
      <c r="D27" s="342">
        <v>40</v>
      </c>
      <c r="E27" s="335" t="s">
        <v>407</v>
      </c>
      <c r="F27" s="343" t="s">
        <v>404</v>
      </c>
      <c r="G27" s="337" t="s">
        <v>320</v>
      </c>
      <c r="H27" s="335" t="s">
        <v>403</v>
      </c>
      <c r="I27" s="335" t="s">
        <v>375</v>
      </c>
      <c r="J27" s="231">
        <v>180</v>
      </c>
      <c r="K27" s="217">
        <v>6013696.29</v>
      </c>
      <c r="L27" s="217">
        <v>14248410.890000001</v>
      </c>
      <c r="M27" s="245"/>
      <c r="N27" s="338">
        <v>8</v>
      </c>
      <c r="O27" s="338"/>
      <c r="P27" s="338"/>
      <c r="Q27" s="338"/>
      <c r="R27" s="338"/>
      <c r="S27" s="338"/>
    </row>
    <row r="28" spans="1:19" x14ac:dyDescent="0.25">
      <c r="A28" s="414" t="s">
        <v>291</v>
      </c>
      <c r="B28" s="264" t="s">
        <v>296</v>
      </c>
      <c r="C28" s="262">
        <v>20</v>
      </c>
      <c r="D28" s="260">
        <v>40</v>
      </c>
      <c r="E28" s="276"/>
      <c r="F28" s="276"/>
      <c r="G28" s="277"/>
      <c r="H28" s="278"/>
      <c r="I28" s="278"/>
      <c r="J28" s="232" t="s">
        <v>291</v>
      </c>
      <c r="K28" s="267">
        <v>833634.69</v>
      </c>
      <c r="L28" s="267">
        <v>2329211.0500000007</v>
      </c>
      <c r="M28" s="246">
        <v>0.7</v>
      </c>
      <c r="N28" s="294"/>
      <c r="O28" s="294"/>
      <c r="P28" s="294"/>
      <c r="Q28" s="294"/>
      <c r="R28" s="294"/>
      <c r="S28" s="294"/>
    </row>
    <row r="29" spans="1:19" ht="24" x14ac:dyDescent="0.25">
      <c r="A29" s="414" t="s">
        <v>499</v>
      </c>
      <c r="B29" s="264" t="s">
        <v>296</v>
      </c>
      <c r="C29" s="262">
        <v>20</v>
      </c>
      <c r="D29" s="260">
        <v>40</v>
      </c>
      <c r="E29" s="276"/>
      <c r="F29" s="276"/>
      <c r="G29" s="277"/>
      <c r="H29" s="278"/>
      <c r="I29" s="278"/>
      <c r="J29" s="232" t="s">
        <v>289</v>
      </c>
      <c r="K29" s="267">
        <v>5180061.5999999996</v>
      </c>
      <c r="L29" s="267">
        <v>11919199.84</v>
      </c>
      <c r="M29" s="246">
        <v>0.85</v>
      </c>
      <c r="N29" s="294"/>
      <c r="O29" s="294"/>
      <c r="P29" s="294"/>
      <c r="Q29" s="294"/>
      <c r="R29" s="294"/>
      <c r="S29" s="294"/>
    </row>
    <row r="30" spans="1:19" s="307" customFormat="1" ht="338.25" customHeight="1" x14ac:dyDescent="0.25">
      <c r="A30" s="247" t="s">
        <v>445</v>
      </c>
      <c r="B30" s="333" t="s">
        <v>300</v>
      </c>
      <c r="C30" s="342">
        <f>'Подробно разпределение '!P12</f>
        <v>292.53999999999996</v>
      </c>
      <c r="D30" s="344">
        <f>'Подробно разпределение '!AD12</f>
        <v>292.53999999999996</v>
      </c>
      <c r="E30" s="335" t="s">
        <v>429</v>
      </c>
      <c r="F30" s="335" t="s">
        <v>430</v>
      </c>
      <c r="G30" s="337" t="s">
        <v>320</v>
      </c>
      <c r="H30" s="335" t="s">
        <v>349</v>
      </c>
      <c r="I30" s="335" t="s">
        <v>350</v>
      </c>
      <c r="J30" s="231">
        <v>180</v>
      </c>
      <c r="K30" s="268">
        <v>15821563.869999999</v>
      </c>
      <c r="L30" s="268">
        <v>37486452.939999998</v>
      </c>
      <c r="M30" s="245"/>
      <c r="N30" s="338">
        <v>27</v>
      </c>
      <c r="O30" s="338">
        <v>46</v>
      </c>
      <c r="P30" s="338">
        <v>46</v>
      </c>
      <c r="Q30" s="338">
        <v>46</v>
      </c>
      <c r="R30" s="338">
        <v>0</v>
      </c>
      <c r="S30" s="338">
        <v>65</v>
      </c>
    </row>
    <row r="31" spans="1:19" s="307" customFormat="1" x14ac:dyDescent="0.25">
      <c r="A31" s="414" t="s">
        <v>291</v>
      </c>
      <c r="B31" s="345" t="s">
        <v>300</v>
      </c>
      <c r="C31" s="346">
        <f>ROUND(C30/6,0)</f>
        <v>49</v>
      </c>
      <c r="D31" s="346">
        <f>ROUND(D30/6,0)</f>
        <v>49</v>
      </c>
      <c r="E31" s="347"/>
      <c r="F31" s="347"/>
      <c r="G31" s="348"/>
      <c r="H31" s="349"/>
      <c r="I31" s="349"/>
      <c r="J31" s="232" t="s">
        <v>291</v>
      </c>
      <c r="K31" s="266">
        <v>2193227.56</v>
      </c>
      <c r="L31" s="266">
        <v>6127971.8099999987</v>
      </c>
      <c r="M31" s="246">
        <v>0.7</v>
      </c>
      <c r="N31" s="338"/>
      <c r="O31" s="338"/>
      <c r="P31" s="338"/>
      <c r="Q31" s="338"/>
      <c r="R31" s="338"/>
      <c r="S31" s="338"/>
    </row>
    <row r="32" spans="1:19" s="307" customFormat="1" ht="24" x14ac:dyDescent="0.25">
      <c r="A32" s="414" t="s">
        <v>499</v>
      </c>
      <c r="B32" s="345" t="s">
        <v>300</v>
      </c>
      <c r="C32" s="346">
        <f>C30-C31</f>
        <v>243.53999999999996</v>
      </c>
      <c r="D32" s="346">
        <f>D30-D31</f>
        <v>243.53999999999996</v>
      </c>
      <c r="E32" s="347"/>
      <c r="F32" s="347"/>
      <c r="G32" s="348"/>
      <c r="H32" s="349"/>
      <c r="I32" s="349"/>
      <c r="J32" s="232" t="s">
        <v>289</v>
      </c>
      <c r="K32" s="266">
        <v>13628336.309999999</v>
      </c>
      <c r="L32" s="266">
        <v>31358481.129999999</v>
      </c>
      <c r="M32" s="246">
        <v>0.85</v>
      </c>
      <c r="N32" s="338"/>
      <c r="O32" s="338"/>
      <c r="P32" s="338"/>
      <c r="Q32" s="338"/>
      <c r="R32" s="338"/>
      <c r="S32" s="338"/>
    </row>
    <row r="33" spans="1:19" s="307" customFormat="1" ht="206.25" customHeight="1" x14ac:dyDescent="0.25">
      <c r="A33" s="339" t="s">
        <v>431</v>
      </c>
      <c r="B33" s="333" t="s">
        <v>300</v>
      </c>
      <c r="C33" s="342">
        <f>'Подробно разпределение '!P13</f>
        <v>35</v>
      </c>
      <c r="D33" s="334">
        <f>'Подробно разпределение '!AD13</f>
        <v>94</v>
      </c>
      <c r="E33" s="335" t="s">
        <v>432</v>
      </c>
      <c r="F33" s="335" t="s">
        <v>433</v>
      </c>
      <c r="G33" s="337" t="s">
        <v>447</v>
      </c>
      <c r="H33" s="335" t="s">
        <v>434</v>
      </c>
      <c r="I33" s="335" t="s">
        <v>396</v>
      </c>
      <c r="J33" s="231">
        <v>182</v>
      </c>
      <c r="K33" s="268">
        <v>3960945.3400000003</v>
      </c>
      <c r="L33" s="268">
        <v>9384773.3399999999</v>
      </c>
      <c r="M33" s="245"/>
      <c r="N33" s="338">
        <v>3</v>
      </c>
      <c r="O33" s="338">
        <v>8</v>
      </c>
      <c r="P33" s="338">
        <v>8</v>
      </c>
      <c r="Q33" s="338">
        <v>8</v>
      </c>
      <c r="R33" s="338">
        <v>8</v>
      </c>
      <c r="S33" s="338"/>
    </row>
    <row r="34" spans="1:19" x14ac:dyDescent="0.25">
      <c r="A34" s="414" t="s">
        <v>291</v>
      </c>
      <c r="B34" s="263" t="s">
        <v>300</v>
      </c>
      <c r="C34" s="260">
        <f>ROUND(C33/6,0)</f>
        <v>6</v>
      </c>
      <c r="D34" s="260">
        <f>ROUND(D33/6,0)</f>
        <v>16</v>
      </c>
      <c r="E34" s="276"/>
      <c r="F34" s="276"/>
      <c r="G34" s="277"/>
      <c r="H34" s="278"/>
      <c r="I34" s="278"/>
      <c r="J34" s="232" t="s">
        <v>291</v>
      </c>
      <c r="K34" s="267">
        <v>549076.85</v>
      </c>
      <c r="L34" s="267">
        <v>1534144.2599999998</v>
      </c>
      <c r="M34" s="246">
        <v>0.7</v>
      </c>
      <c r="N34" s="294"/>
      <c r="O34" s="294"/>
      <c r="P34" s="294"/>
      <c r="Q34" s="294"/>
      <c r="R34" s="294"/>
      <c r="S34" s="294"/>
    </row>
    <row r="35" spans="1:19" ht="24" x14ac:dyDescent="0.25">
      <c r="A35" s="414" t="s">
        <v>499</v>
      </c>
      <c r="B35" s="263" t="s">
        <v>300</v>
      </c>
      <c r="C35" s="260">
        <f>C33-C34</f>
        <v>29</v>
      </c>
      <c r="D35" s="260">
        <f>D33-D34</f>
        <v>78</v>
      </c>
      <c r="E35" s="276"/>
      <c r="F35" s="276"/>
      <c r="G35" s="277"/>
      <c r="H35" s="278"/>
      <c r="I35" s="278"/>
      <c r="J35" s="232" t="s">
        <v>289</v>
      </c>
      <c r="K35" s="267">
        <v>3411868.49</v>
      </c>
      <c r="L35" s="267">
        <v>7850629.0800000001</v>
      </c>
      <c r="M35" s="246">
        <v>0.85</v>
      </c>
      <c r="N35" s="294"/>
      <c r="O35" s="294"/>
      <c r="P35" s="294"/>
      <c r="Q35" s="294"/>
      <c r="R35" s="294"/>
      <c r="S35" s="294"/>
    </row>
    <row r="36" spans="1:19" s="307" customFormat="1" ht="206.25" customHeight="1" x14ac:dyDescent="0.25">
      <c r="A36" s="339" t="s">
        <v>442</v>
      </c>
      <c r="B36" s="333" t="s">
        <v>300</v>
      </c>
      <c r="C36" s="342">
        <f>'Подробно разпределение '!P14</f>
        <v>10579.463000000003</v>
      </c>
      <c r="D36" s="334">
        <f>'Подробно разпределение '!AD14</f>
        <v>19517.543333333335</v>
      </c>
      <c r="E36" s="335" t="s">
        <v>435</v>
      </c>
      <c r="F36" s="335" t="s">
        <v>436</v>
      </c>
      <c r="G36" s="337" t="s">
        <v>447</v>
      </c>
      <c r="H36" s="335" t="s">
        <v>379</v>
      </c>
      <c r="I36" s="335" t="s">
        <v>378</v>
      </c>
      <c r="J36" s="231">
        <v>182</v>
      </c>
      <c r="K36" s="268">
        <v>6204150.79</v>
      </c>
      <c r="L36" s="268">
        <v>14699659.810000001</v>
      </c>
      <c r="M36" s="245"/>
      <c r="N36" s="338">
        <v>3</v>
      </c>
      <c r="O36" s="338">
        <v>8</v>
      </c>
      <c r="P36" s="338">
        <v>8</v>
      </c>
      <c r="Q36" s="338">
        <v>8</v>
      </c>
      <c r="R36" s="338">
        <v>8</v>
      </c>
      <c r="S36" s="338"/>
    </row>
    <row r="37" spans="1:19" x14ac:dyDescent="0.25">
      <c r="A37" s="414" t="s">
        <v>291</v>
      </c>
      <c r="B37" s="263" t="s">
        <v>300</v>
      </c>
      <c r="C37" s="260">
        <f>ROUND(C36/6,0)</f>
        <v>1763</v>
      </c>
      <c r="D37" s="260">
        <f>ROUND(D36/6,0)</f>
        <v>3253</v>
      </c>
      <c r="E37" s="276"/>
      <c r="F37" s="276"/>
      <c r="G37" s="277"/>
      <c r="H37" s="278"/>
      <c r="I37" s="278"/>
      <c r="J37" s="232" t="s">
        <v>291</v>
      </c>
      <c r="K37" s="267">
        <v>860036</v>
      </c>
      <c r="L37" s="267">
        <v>2402977.4500000011</v>
      </c>
      <c r="M37" s="246">
        <v>0.7</v>
      </c>
      <c r="N37" s="294"/>
      <c r="O37" s="294"/>
      <c r="P37" s="294"/>
      <c r="Q37" s="294"/>
      <c r="R37" s="294"/>
      <c r="S37" s="294"/>
    </row>
    <row r="38" spans="1:19" ht="24" x14ac:dyDescent="0.25">
      <c r="A38" s="414" t="s">
        <v>499</v>
      </c>
      <c r="B38" s="263" t="s">
        <v>300</v>
      </c>
      <c r="C38" s="260">
        <f>C36-C37</f>
        <v>8816.4630000000034</v>
      </c>
      <c r="D38" s="260">
        <f>D36-D37</f>
        <v>16264.543333333335</v>
      </c>
      <c r="E38" s="276"/>
      <c r="F38" s="276"/>
      <c r="G38" s="277"/>
      <c r="H38" s="278"/>
      <c r="I38" s="278"/>
      <c r="J38" s="232" t="s">
        <v>289</v>
      </c>
      <c r="K38" s="267">
        <v>5344114.79</v>
      </c>
      <c r="L38" s="267">
        <v>12296682.359999999</v>
      </c>
      <c r="M38" s="246">
        <v>0.85</v>
      </c>
      <c r="N38" s="294"/>
      <c r="O38" s="294"/>
      <c r="P38" s="294"/>
      <c r="Q38" s="294"/>
      <c r="R38" s="294"/>
      <c r="S38" s="294"/>
    </row>
    <row r="39" spans="1:19" ht="195" customHeight="1" x14ac:dyDescent="0.25">
      <c r="A39" s="247" t="s">
        <v>441</v>
      </c>
      <c r="B39" s="238" t="s">
        <v>296</v>
      </c>
      <c r="C39" s="404">
        <f>'Подробно разпределение '!P15</f>
        <v>70</v>
      </c>
      <c r="D39" s="239">
        <f>'Подробно разпределение '!AD15</f>
        <v>80</v>
      </c>
      <c r="E39" s="214" t="s">
        <v>351</v>
      </c>
      <c r="F39" s="216" t="s">
        <v>389</v>
      </c>
      <c r="G39" s="337" t="s">
        <v>447</v>
      </c>
      <c r="H39" s="214" t="s">
        <v>352</v>
      </c>
      <c r="I39" s="214" t="s">
        <v>353</v>
      </c>
      <c r="J39" s="231">
        <v>182</v>
      </c>
      <c r="K39" s="268">
        <v>4013846.7399999998</v>
      </c>
      <c r="L39" s="268">
        <v>9510114.0299999993</v>
      </c>
      <c r="M39" s="245"/>
      <c r="N39" s="294">
        <v>3</v>
      </c>
      <c r="O39" s="294">
        <v>8</v>
      </c>
      <c r="P39" s="294">
        <v>8</v>
      </c>
      <c r="Q39" s="294">
        <v>8</v>
      </c>
      <c r="R39" s="294">
        <v>8</v>
      </c>
      <c r="S39" s="294"/>
    </row>
    <row r="40" spans="1:19" x14ac:dyDescent="0.25">
      <c r="A40" s="414" t="s">
        <v>291</v>
      </c>
      <c r="B40" s="264" t="s">
        <v>296</v>
      </c>
      <c r="C40" s="262">
        <v>70</v>
      </c>
      <c r="D40" s="260">
        <v>80</v>
      </c>
      <c r="E40" s="276"/>
      <c r="F40" s="276"/>
      <c r="G40" s="277"/>
      <c r="H40" s="278"/>
      <c r="I40" s="278"/>
      <c r="J40" s="232" t="s">
        <v>291</v>
      </c>
      <c r="K40" s="267">
        <v>556410.18999999994</v>
      </c>
      <c r="L40" s="267">
        <v>1554633.9099999992</v>
      </c>
      <c r="M40" s="246">
        <v>0.7</v>
      </c>
      <c r="N40" s="294"/>
      <c r="O40" s="294"/>
      <c r="P40" s="294"/>
      <c r="Q40" s="294"/>
      <c r="R40" s="294"/>
      <c r="S40" s="294"/>
    </row>
    <row r="41" spans="1:19" ht="24" x14ac:dyDescent="0.25">
      <c r="A41" s="414" t="s">
        <v>499</v>
      </c>
      <c r="B41" s="264" t="s">
        <v>296</v>
      </c>
      <c r="C41" s="262">
        <v>70</v>
      </c>
      <c r="D41" s="260">
        <v>80</v>
      </c>
      <c r="E41" s="276"/>
      <c r="F41" s="276"/>
      <c r="G41" s="277"/>
      <c r="H41" s="278"/>
      <c r="I41" s="278"/>
      <c r="J41" s="232" t="s">
        <v>289</v>
      </c>
      <c r="K41" s="267">
        <v>3457436.55</v>
      </c>
      <c r="L41" s="267">
        <v>7955480.1200000001</v>
      </c>
      <c r="M41" s="246">
        <v>0.85</v>
      </c>
      <c r="N41" s="294"/>
      <c r="O41" s="294"/>
      <c r="P41" s="294"/>
      <c r="Q41" s="294"/>
      <c r="R41" s="294"/>
      <c r="S41" s="294"/>
    </row>
    <row r="42" spans="1:19" ht="24" x14ac:dyDescent="0.25">
      <c r="A42" s="399" t="s">
        <v>370</v>
      </c>
      <c r="B42" s="333" t="s">
        <v>300</v>
      </c>
      <c r="C42" s="342">
        <f>'Подробно разпределение '!P16</f>
        <v>0</v>
      </c>
      <c r="D42" s="393">
        <f>'Подробно разпределение '!AD16</f>
        <v>0</v>
      </c>
      <c r="E42" s="394"/>
      <c r="F42" s="398"/>
      <c r="G42" s="395"/>
      <c r="H42" s="394"/>
      <c r="I42" s="394"/>
      <c r="J42" s="231">
        <v>182</v>
      </c>
      <c r="K42" s="268">
        <v>3788540.4599999995</v>
      </c>
      <c r="L42" s="268">
        <v>8976289.8800000008</v>
      </c>
      <c r="M42" s="245"/>
      <c r="N42" s="294"/>
      <c r="O42" s="294"/>
      <c r="P42" s="294"/>
      <c r="Q42" s="294"/>
      <c r="R42" s="294"/>
      <c r="S42" s="294">
        <v>5</v>
      </c>
    </row>
    <row r="43" spans="1:19" s="307" customFormat="1" x14ac:dyDescent="0.25">
      <c r="A43" s="414" t="s">
        <v>291</v>
      </c>
      <c r="B43" s="345" t="s">
        <v>300</v>
      </c>
      <c r="C43" s="346">
        <f>ROUND(C42/6,0)</f>
        <v>0</v>
      </c>
      <c r="D43" s="346">
        <f>ROUND(D42/6,0)</f>
        <v>0</v>
      </c>
      <c r="E43" s="347"/>
      <c r="F43" s="347"/>
      <c r="G43" s="348"/>
      <c r="H43" s="349"/>
      <c r="I43" s="349"/>
      <c r="J43" s="232" t="s">
        <v>291</v>
      </c>
      <c r="K43" s="266">
        <v>525177.63</v>
      </c>
      <c r="L43" s="266">
        <v>1467368.8000000007</v>
      </c>
      <c r="M43" s="246">
        <v>0.7</v>
      </c>
      <c r="N43" s="338"/>
      <c r="O43" s="338"/>
      <c r="P43" s="338"/>
      <c r="Q43" s="338"/>
      <c r="R43" s="338"/>
      <c r="S43" s="338"/>
    </row>
    <row r="44" spans="1:19" s="307" customFormat="1" ht="24" x14ac:dyDescent="0.25">
      <c r="A44" s="414" t="s">
        <v>499</v>
      </c>
      <c r="B44" s="345" t="s">
        <v>300</v>
      </c>
      <c r="C44" s="346">
        <f>C42-C43</f>
        <v>0</v>
      </c>
      <c r="D44" s="346">
        <f>D42-D43</f>
        <v>0</v>
      </c>
      <c r="E44" s="347"/>
      <c r="F44" s="347"/>
      <c r="G44" s="348"/>
      <c r="H44" s="349"/>
      <c r="I44" s="349"/>
      <c r="J44" s="232" t="s">
        <v>289</v>
      </c>
      <c r="K44" s="266">
        <v>3263362.8299999996</v>
      </c>
      <c r="L44" s="266">
        <v>7508921.0800000001</v>
      </c>
      <c r="M44" s="246">
        <v>0.85</v>
      </c>
      <c r="N44" s="338"/>
      <c r="O44" s="338"/>
      <c r="P44" s="338"/>
      <c r="Q44" s="338"/>
      <c r="R44" s="338"/>
      <c r="S44" s="338"/>
    </row>
    <row r="45" spans="1:19" s="307" customFormat="1" ht="138" customHeight="1" x14ac:dyDescent="0.25">
      <c r="A45" s="339" t="s">
        <v>371</v>
      </c>
      <c r="B45" s="337" t="s">
        <v>300</v>
      </c>
      <c r="C45" s="342">
        <f>'Подробно разпределение '!P17</f>
        <v>10</v>
      </c>
      <c r="D45" s="342">
        <f>'Подробно разпределение '!AD17</f>
        <v>60</v>
      </c>
      <c r="E45" s="335" t="s">
        <v>372</v>
      </c>
      <c r="F45" s="343" t="s">
        <v>390</v>
      </c>
      <c r="G45" s="337" t="s">
        <v>447</v>
      </c>
      <c r="H45" s="343" t="s">
        <v>437</v>
      </c>
      <c r="I45" s="335" t="s">
        <v>373</v>
      </c>
      <c r="J45" s="231">
        <v>182</v>
      </c>
      <c r="K45" s="268">
        <v>3056968.34</v>
      </c>
      <c r="L45" s="268">
        <v>7242956.54</v>
      </c>
      <c r="M45" s="245"/>
      <c r="N45" s="338"/>
      <c r="O45" s="338"/>
      <c r="P45" s="338"/>
      <c r="Q45" s="338"/>
      <c r="R45" s="338"/>
      <c r="S45" s="338">
        <v>5</v>
      </c>
    </row>
    <row r="46" spans="1:19" s="307" customFormat="1" x14ac:dyDescent="0.25">
      <c r="A46" s="414" t="s">
        <v>291</v>
      </c>
      <c r="B46" s="345" t="s">
        <v>300</v>
      </c>
      <c r="C46" s="346">
        <f>ROUND(C45/6,0)</f>
        <v>2</v>
      </c>
      <c r="D46" s="346">
        <f>ROUND(D45/6,0)</f>
        <v>10</v>
      </c>
      <c r="E46" s="347"/>
      <c r="F46" s="347"/>
      <c r="G46" s="348"/>
      <c r="H46" s="349"/>
      <c r="I46" s="349"/>
      <c r="J46" s="232" t="s">
        <v>291</v>
      </c>
      <c r="K46" s="266">
        <v>423765.14</v>
      </c>
      <c r="L46" s="266">
        <v>1184017.96</v>
      </c>
      <c r="M46" s="246">
        <v>0.7</v>
      </c>
      <c r="N46" s="338"/>
      <c r="O46" s="338"/>
      <c r="P46" s="338"/>
      <c r="Q46" s="338"/>
      <c r="R46" s="338"/>
      <c r="S46" s="338"/>
    </row>
    <row r="47" spans="1:19" s="307" customFormat="1" ht="24" x14ac:dyDescent="0.25">
      <c r="A47" s="414" t="s">
        <v>499</v>
      </c>
      <c r="B47" s="345" t="s">
        <v>300</v>
      </c>
      <c r="C47" s="346">
        <f>C45-C46</f>
        <v>8</v>
      </c>
      <c r="D47" s="346">
        <f>D45-D46</f>
        <v>50</v>
      </c>
      <c r="E47" s="347"/>
      <c r="F47" s="347"/>
      <c r="G47" s="348"/>
      <c r="H47" s="349"/>
      <c r="I47" s="349"/>
      <c r="J47" s="232" t="s">
        <v>289</v>
      </c>
      <c r="K47" s="266">
        <v>2633203.1999999997</v>
      </c>
      <c r="L47" s="266">
        <v>6058938.5800000001</v>
      </c>
      <c r="M47" s="246">
        <v>0.85</v>
      </c>
      <c r="N47" s="338"/>
      <c r="O47" s="338"/>
      <c r="P47" s="338"/>
      <c r="Q47" s="338"/>
      <c r="R47" s="338"/>
      <c r="S47" s="338"/>
    </row>
    <row r="48" spans="1:19" ht="48" x14ac:dyDescent="0.25">
      <c r="A48" s="399" t="s">
        <v>450</v>
      </c>
      <c r="B48" s="238" t="s">
        <v>300</v>
      </c>
      <c r="C48" s="405">
        <f>'Подробно разпределение '!P18</f>
        <v>0</v>
      </c>
      <c r="D48" s="393">
        <f>'Подробно разпределение '!AD18</f>
        <v>0</v>
      </c>
      <c r="E48" s="394"/>
      <c r="F48" s="398"/>
      <c r="G48" s="395"/>
      <c r="H48" s="394"/>
      <c r="I48" s="394"/>
      <c r="J48" s="231">
        <v>181</v>
      </c>
      <c r="K48" s="268">
        <v>5458581.6200000001</v>
      </c>
      <c r="L48" s="268">
        <v>12933162.9</v>
      </c>
      <c r="M48" s="245"/>
      <c r="N48" s="294"/>
      <c r="O48" s="294"/>
      <c r="P48" s="294"/>
      <c r="Q48" s="294"/>
      <c r="R48" s="294"/>
      <c r="S48" s="294">
        <v>10</v>
      </c>
    </row>
    <row r="49" spans="1:19" x14ac:dyDescent="0.25">
      <c r="A49" s="414" t="s">
        <v>291</v>
      </c>
      <c r="B49" s="263" t="s">
        <v>300</v>
      </c>
      <c r="C49" s="260">
        <f>ROUND(C48/6,0)</f>
        <v>0</v>
      </c>
      <c r="D49" s="260">
        <f>ROUND(D48/6,0)</f>
        <v>0</v>
      </c>
      <c r="E49" s="276"/>
      <c r="F49" s="276"/>
      <c r="G49" s="277"/>
      <c r="H49" s="278"/>
      <c r="I49" s="278"/>
      <c r="J49" s="232" t="s">
        <v>291</v>
      </c>
      <c r="K49" s="266">
        <v>756683.21</v>
      </c>
      <c r="L49" s="266">
        <v>2114205.3100000005</v>
      </c>
      <c r="M49" s="246">
        <v>0.7</v>
      </c>
      <c r="N49" s="294"/>
      <c r="O49" s="294"/>
      <c r="P49" s="294"/>
      <c r="Q49" s="294"/>
      <c r="R49" s="294"/>
      <c r="S49" s="294"/>
    </row>
    <row r="50" spans="1:19" ht="24" x14ac:dyDescent="0.25">
      <c r="A50" s="414" t="s">
        <v>499</v>
      </c>
      <c r="B50" s="263" t="s">
        <v>300</v>
      </c>
      <c r="C50" s="260">
        <f>C48-C49</f>
        <v>0</v>
      </c>
      <c r="D50" s="260">
        <f>D48-D49</f>
        <v>0</v>
      </c>
      <c r="E50" s="276"/>
      <c r="F50" s="276"/>
      <c r="G50" s="277"/>
      <c r="H50" s="278"/>
      <c r="I50" s="278"/>
      <c r="J50" s="232" t="s">
        <v>289</v>
      </c>
      <c r="K50" s="266">
        <v>4701898.41</v>
      </c>
      <c r="L50" s="266">
        <v>10818957.59</v>
      </c>
      <c r="M50" s="246">
        <v>0.85</v>
      </c>
      <c r="N50" s="294"/>
      <c r="O50" s="294"/>
      <c r="P50" s="294"/>
      <c r="Q50" s="294"/>
      <c r="R50" s="294"/>
      <c r="S50" s="294"/>
    </row>
    <row r="51" spans="1:19" ht="48" x14ac:dyDescent="0.25">
      <c r="A51" s="399" t="s">
        <v>344</v>
      </c>
      <c r="B51" s="238" t="s">
        <v>300</v>
      </c>
      <c r="C51" s="405">
        <f>'Подробно разпределение '!P19</f>
        <v>0</v>
      </c>
      <c r="D51" s="393">
        <f>'Подробно разпределение '!AD19</f>
        <v>0</v>
      </c>
      <c r="E51" s="394"/>
      <c r="F51" s="398"/>
      <c r="G51" s="395"/>
      <c r="H51" s="394"/>
      <c r="I51" s="394"/>
      <c r="J51" s="231">
        <v>179</v>
      </c>
      <c r="K51" s="268">
        <v>3348277.41</v>
      </c>
      <c r="L51" s="268">
        <v>7933162.9000000004</v>
      </c>
      <c r="M51" s="245"/>
      <c r="N51" s="294"/>
      <c r="O51" s="294"/>
      <c r="P51" s="294"/>
      <c r="Q51" s="294"/>
      <c r="R51" s="294"/>
      <c r="S51" s="294">
        <v>10</v>
      </c>
    </row>
    <row r="52" spans="1:19" x14ac:dyDescent="0.25">
      <c r="A52" s="414" t="s">
        <v>291</v>
      </c>
      <c r="B52" s="263" t="s">
        <v>300</v>
      </c>
      <c r="C52" s="260">
        <f>ROUND(C51/6,0)</f>
        <v>0</v>
      </c>
      <c r="D52" s="260">
        <f>ROUND(D51/6,0)</f>
        <v>0</v>
      </c>
      <c r="E52" s="276"/>
      <c r="F52" s="276"/>
      <c r="G52" s="277"/>
      <c r="H52" s="278"/>
      <c r="I52" s="280"/>
      <c r="J52" s="232" t="s">
        <v>291</v>
      </c>
      <c r="K52" s="266">
        <v>464147.17</v>
      </c>
      <c r="L52" s="266">
        <v>1296847.1200000001</v>
      </c>
      <c r="M52" s="246">
        <v>0.7</v>
      </c>
      <c r="N52" s="294"/>
      <c r="O52" s="294"/>
      <c r="P52" s="294"/>
      <c r="Q52" s="294"/>
      <c r="R52" s="294"/>
      <c r="S52" s="294"/>
    </row>
    <row r="53" spans="1:19" ht="24" x14ac:dyDescent="0.25">
      <c r="A53" s="414" t="s">
        <v>499</v>
      </c>
      <c r="B53" s="263" t="s">
        <v>300</v>
      </c>
      <c r="C53" s="260">
        <f>C51-C52</f>
        <v>0</v>
      </c>
      <c r="D53" s="260">
        <f>D51-D52</f>
        <v>0</v>
      </c>
      <c r="E53" s="276"/>
      <c r="F53" s="276"/>
      <c r="G53" s="277"/>
      <c r="H53" s="278"/>
      <c r="I53" s="280"/>
      <c r="J53" s="232" t="s">
        <v>289</v>
      </c>
      <c r="K53" s="266">
        <v>2884130.24</v>
      </c>
      <c r="L53" s="266">
        <v>6636315.7800000003</v>
      </c>
      <c r="M53" s="246">
        <v>0.85</v>
      </c>
      <c r="N53" s="294"/>
      <c r="O53" s="294"/>
      <c r="P53" s="294"/>
      <c r="Q53" s="294"/>
      <c r="R53" s="294"/>
      <c r="S53" s="294"/>
    </row>
    <row r="54" spans="1:19" s="307" customFormat="1" ht="134.25" customHeight="1" x14ac:dyDescent="0.25">
      <c r="A54" s="339" t="s">
        <v>381</v>
      </c>
      <c r="B54" s="337" t="s">
        <v>300</v>
      </c>
      <c r="C54" s="342">
        <f>'Подробно разпределение '!P20</f>
        <v>0</v>
      </c>
      <c r="D54" s="416">
        <f>'Подробно разпределение '!AD20</f>
        <v>3</v>
      </c>
      <c r="E54" s="335" t="s">
        <v>398</v>
      </c>
      <c r="F54" s="343" t="s">
        <v>408</v>
      </c>
      <c r="G54" s="337" t="s">
        <v>448</v>
      </c>
      <c r="H54" s="350" t="s">
        <v>397</v>
      </c>
      <c r="I54" s="335" t="s">
        <v>392</v>
      </c>
      <c r="J54" s="231">
        <v>181</v>
      </c>
      <c r="K54" s="217">
        <v>759709.52</v>
      </c>
      <c r="L54" s="217">
        <v>1800000</v>
      </c>
      <c r="M54" s="245"/>
      <c r="N54" s="338"/>
      <c r="O54" s="338"/>
      <c r="P54" s="338"/>
      <c r="Q54" s="338"/>
      <c r="R54" s="338"/>
      <c r="S54" s="338"/>
    </row>
    <row r="55" spans="1:19" x14ac:dyDescent="0.25">
      <c r="A55" s="414" t="s">
        <v>291</v>
      </c>
      <c r="B55" s="263" t="s">
        <v>300</v>
      </c>
      <c r="C55" s="260">
        <f>ROUND(C54/6,0)</f>
        <v>0</v>
      </c>
      <c r="D55" s="261">
        <f>ROUND(D54/6,2)</f>
        <v>0.5</v>
      </c>
      <c r="E55" s="276"/>
      <c r="F55" s="276"/>
      <c r="G55" s="277"/>
      <c r="H55" s="278"/>
      <c r="I55" s="280"/>
      <c r="J55" s="232" t="s">
        <v>291</v>
      </c>
      <c r="K55" s="266">
        <v>105312.96000000001</v>
      </c>
      <c r="L55" s="266">
        <v>294248.94999999995</v>
      </c>
      <c r="M55" s="246">
        <v>0.7</v>
      </c>
      <c r="N55" s="294"/>
      <c r="O55" s="294"/>
      <c r="P55" s="294"/>
      <c r="Q55" s="294"/>
      <c r="R55" s="294"/>
      <c r="S55" s="294"/>
    </row>
    <row r="56" spans="1:19" ht="24" x14ac:dyDescent="0.25">
      <c r="A56" s="414" t="s">
        <v>499</v>
      </c>
      <c r="B56" s="263" t="s">
        <v>300</v>
      </c>
      <c r="C56" s="260">
        <f>C54-C55</f>
        <v>0</v>
      </c>
      <c r="D56" s="261">
        <f>D54-D55</f>
        <v>2.5</v>
      </c>
      <c r="E56" s="276"/>
      <c r="F56" s="276"/>
      <c r="G56" s="277"/>
      <c r="H56" s="278"/>
      <c r="I56" s="280"/>
      <c r="J56" s="232" t="s">
        <v>289</v>
      </c>
      <c r="K56" s="266">
        <v>654396.56000000006</v>
      </c>
      <c r="L56" s="266">
        <v>1505751.05</v>
      </c>
      <c r="M56" s="246">
        <v>0.85</v>
      </c>
      <c r="N56" s="294"/>
      <c r="O56" s="294"/>
      <c r="P56" s="294"/>
      <c r="Q56" s="294"/>
      <c r="R56" s="294"/>
      <c r="S56" s="294"/>
    </row>
    <row r="57" spans="1:19" s="351" customFormat="1" ht="408" x14ac:dyDescent="0.25">
      <c r="A57" s="332" t="s">
        <v>438</v>
      </c>
      <c r="B57" s="333" t="s">
        <v>300</v>
      </c>
      <c r="C57" s="342">
        <f>'Подробно разпределение '!P21</f>
        <v>334</v>
      </c>
      <c r="D57" s="342">
        <f>'Подробно разпределение '!AD21</f>
        <v>2348</v>
      </c>
      <c r="E57" s="335" t="s">
        <v>439</v>
      </c>
      <c r="F57" s="335" t="s">
        <v>405</v>
      </c>
      <c r="G57" s="337" t="s">
        <v>449</v>
      </c>
      <c r="H57" s="335" t="s">
        <v>446</v>
      </c>
      <c r="I57" s="335" t="s">
        <v>354</v>
      </c>
      <c r="J57" s="231">
        <v>179</v>
      </c>
      <c r="K57" s="217">
        <v>4720311.67</v>
      </c>
      <c r="L57" s="217">
        <v>11183960.23</v>
      </c>
      <c r="M57" s="245"/>
      <c r="N57" s="338">
        <v>5</v>
      </c>
      <c r="O57" s="338"/>
      <c r="P57" s="338"/>
      <c r="Q57" s="338"/>
      <c r="R57" s="338"/>
      <c r="S57" s="338">
        <v>1.25</v>
      </c>
    </row>
    <row r="58" spans="1:19" s="310" customFormat="1" x14ac:dyDescent="0.25">
      <c r="A58" s="275"/>
      <c r="B58" s="263" t="s">
        <v>300</v>
      </c>
      <c r="C58" s="260">
        <f>ROUND(4*C57/27,0)</f>
        <v>49</v>
      </c>
      <c r="D58" s="260">
        <f>ROUND(4*D57/27,0)</f>
        <v>348</v>
      </c>
      <c r="E58" s="276"/>
      <c r="F58" s="276"/>
      <c r="G58" s="277"/>
      <c r="H58" s="278"/>
      <c r="I58" s="278"/>
      <c r="J58" s="314" t="s">
        <v>291</v>
      </c>
      <c r="K58" s="315">
        <v>654342.24</v>
      </c>
      <c r="L58" s="315">
        <v>1828260.2800000012</v>
      </c>
      <c r="M58" s="316">
        <v>0.7</v>
      </c>
      <c r="N58" s="408"/>
      <c r="O58" s="317"/>
      <c r="P58" s="317"/>
      <c r="Q58" s="317"/>
      <c r="R58" s="317"/>
      <c r="S58" s="317"/>
    </row>
    <row r="59" spans="1:19" s="310" customFormat="1" ht="24" customHeight="1" x14ac:dyDescent="0.25">
      <c r="A59" s="275"/>
      <c r="B59" s="263" t="s">
        <v>300</v>
      </c>
      <c r="C59" s="260">
        <f>C57-C58</f>
        <v>285</v>
      </c>
      <c r="D59" s="260">
        <f>D57-D58</f>
        <v>2000</v>
      </c>
      <c r="E59" s="276"/>
      <c r="F59" s="276"/>
      <c r="G59" s="277"/>
      <c r="H59" s="278"/>
      <c r="I59" s="278"/>
      <c r="J59" s="314" t="s">
        <v>289</v>
      </c>
      <c r="K59" s="315">
        <v>4065969.4299999997</v>
      </c>
      <c r="L59" s="315">
        <v>9355699.9499999993</v>
      </c>
      <c r="M59" s="316">
        <v>0.85</v>
      </c>
      <c r="N59" s="408"/>
      <c r="O59" s="317"/>
      <c r="P59" s="317"/>
      <c r="Q59" s="317"/>
      <c r="R59" s="317"/>
      <c r="S59" s="317"/>
    </row>
    <row r="60" spans="1:19" ht="120" x14ac:dyDescent="0.25">
      <c r="A60" s="332" t="s">
        <v>345</v>
      </c>
      <c r="B60" s="333" t="s">
        <v>300</v>
      </c>
      <c r="C60" s="342">
        <f>'Подробно разпределение '!P23</f>
        <v>2160000</v>
      </c>
      <c r="D60" s="417">
        <f>'Подробно разпределение '!AD23</f>
        <v>0</v>
      </c>
      <c r="E60" s="335" t="s">
        <v>355</v>
      </c>
      <c r="F60" s="335" t="s">
        <v>391</v>
      </c>
      <c r="G60" s="337" t="s">
        <v>449</v>
      </c>
      <c r="H60" s="335" t="s">
        <v>359</v>
      </c>
      <c r="I60" s="335" t="s">
        <v>356</v>
      </c>
      <c r="J60" s="231">
        <v>179</v>
      </c>
      <c r="K60" s="418">
        <f>ROUND(4198693.72/6,2)</f>
        <v>699782.29</v>
      </c>
      <c r="L60" s="418">
        <f>ROUND(9948076.89/6,2)</f>
        <v>1658012.82</v>
      </c>
      <c r="M60" s="245"/>
      <c r="N60" s="294"/>
      <c r="O60" s="294"/>
      <c r="P60" s="294"/>
      <c r="Q60" s="294"/>
      <c r="R60" s="294"/>
      <c r="S60" s="294"/>
    </row>
    <row r="61" spans="1:19" x14ac:dyDescent="0.25">
      <c r="A61" s="414" t="s">
        <v>291</v>
      </c>
      <c r="B61" s="263" t="s">
        <v>300</v>
      </c>
      <c r="C61" s="260">
        <f>ROUND(4*C60/27,0)</f>
        <v>320000</v>
      </c>
      <c r="D61" s="260">
        <f>ROUND(4*D60/27,0)</f>
        <v>0</v>
      </c>
      <c r="E61" s="276"/>
      <c r="F61" s="276"/>
      <c r="G61" s="277"/>
      <c r="H61" s="278"/>
      <c r="I61" s="278"/>
      <c r="J61" s="231" t="s">
        <v>291</v>
      </c>
      <c r="K61" s="267">
        <v>97005.694361476257</v>
      </c>
      <c r="L61" s="267">
        <v>271038.07</v>
      </c>
      <c r="M61" s="246">
        <v>0.7</v>
      </c>
      <c r="N61" s="294"/>
      <c r="O61" s="294"/>
      <c r="P61" s="294"/>
      <c r="Q61" s="294"/>
      <c r="R61" s="294"/>
      <c r="S61" s="294"/>
    </row>
    <row r="62" spans="1:19" ht="24" x14ac:dyDescent="0.25">
      <c r="A62" s="414" t="s">
        <v>499</v>
      </c>
      <c r="B62" s="263" t="s">
        <v>300</v>
      </c>
      <c r="C62" s="260">
        <f>C60-C61</f>
        <v>1840000</v>
      </c>
      <c r="D62" s="260">
        <v>1840000</v>
      </c>
      <c r="E62" s="276"/>
      <c r="F62" s="276"/>
      <c r="G62" s="277"/>
      <c r="H62" s="278"/>
      <c r="I62" s="278"/>
      <c r="J62" s="231" t="s">
        <v>289</v>
      </c>
      <c r="K62" s="267">
        <v>602776.59563852369</v>
      </c>
      <c r="L62" s="267">
        <v>1386974.75</v>
      </c>
      <c r="M62" s="246">
        <v>0.85</v>
      </c>
      <c r="N62" s="294"/>
      <c r="O62" s="294"/>
      <c r="P62" s="294"/>
      <c r="Q62" s="294"/>
      <c r="R62" s="294"/>
      <c r="S62" s="294"/>
    </row>
    <row r="63" spans="1:19" ht="108" customHeight="1" x14ac:dyDescent="0.25">
      <c r="A63" s="281" t="s">
        <v>369</v>
      </c>
      <c r="B63" s="282" t="s">
        <v>296</v>
      </c>
      <c r="C63" s="417">
        <f>'Подробно разпределение '!P24</f>
        <v>62</v>
      </c>
      <c r="D63" s="417">
        <f>'Подробно разпределение '!AD24</f>
        <v>62</v>
      </c>
      <c r="E63" s="254" t="s">
        <v>380</v>
      </c>
      <c r="F63" s="255" t="s">
        <v>357</v>
      </c>
      <c r="G63" s="337" t="s">
        <v>449</v>
      </c>
      <c r="H63" s="254" t="s">
        <v>358</v>
      </c>
      <c r="I63" s="254" t="s">
        <v>440</v>
      </c>
      <c r="J63" s="231">
        <v>179</v>
      </c>
      <c r="K63" s="269">
        <v>4198692.88</v>
      </c>
      <c r="L63" s="269">
        <v>9948076.8900000006</v>
      </c>
      <c r="M63" s="256"/>
      <c r="N63" s="294">
        <v>5</v>
      </c>
      <c r="O63" s="294"/>
      <c r="P63" s="294"/>
      <c r="Q63" s="294"/>
      <c r="R63" s="294"/>
      <c r="S63" s="294">
        <v>1.25</v>
      </c>
    </row>
    <row r="64" spans="1:19" x14ac:dyDescent="0.25">
      <c r="A64" s="414" t="s">
        <v>291</v>
      </c>
      <c r="B64" s="264" t="s">
        <v>296</v>
      </c>
      <c r="C64" s="262">
        <f>C63</f>
        <v>62</v>
      </c>
      <c r="D64" s="262">
        <f>D63</f>
        <v>62</v>
      </c>
      <c r="E64" s="284"/>
      <c r="F64" s="284"/>
      <c r="G64" s="285"/>
      <c r="H64" s="283"/>
      <c r="I64" s="283"/>
      <c r="J64" s="257" t="s">
        <v>291</v>
      </c>
      <c r="K64" s="270">
        <v>582034.16</v>
      </c>
      <c r="L64" s="270">
        <v>1626228.4100000001</v>
      </c>
      <c r="M64" s="258">
        <v>0.7</v>
      </c>
      <c r="N64" s="294"/>
      <c r="O64" s="294"/>
      <c r="P64" s="294"/>
      <c r="Q64" s="294"/>
      <c r="R64" s="294"/>
      <c r="S64" s="294"/>
    </row>
    <row r="65" spans="1:19" ht="16.5" customHeight="1" x14ac:dyDescent="0.25">
      <c r="A65" s="414" t="s">
        <v>499</v>
      </c>
      <c r="B65" s="264" t="s">
        <v>296</v>
      </c>
      <c r="C65" s="262">
        <f>C63</f>
        <v>62</v>
      </c>
      <c r="D65" s="262">
        <f>D63</f>
        <v>62</v>
      </c>
      <c r="E65" s="284"/>
      <c r="F65" s="284"/>
      <c r="G65" s="285"/>
      <c r="H65" s="283"/>
      <c r="I65" s="283"/>
      <c r="J65" s="257" t="s">
        <v>289</v>
      </c>
      <c r="K65" s="270">
        <v>3616658.72</v>
      </c>
      <c r="L65" s="270">
        <v>8321848.4800000004</v>
      </c>
      <c r="M65" s="258">
        <v>0.85</v>
      </c>
      <c r="N65" s="295"/>
      <c r="O65" s="295"/>
      <c r="P65" s="295"/>
      <c r="Q65" s="295"/>
      <c r="R65" s="295"/>
      <c r="S65" s="295"/>
    </row>
    <row r="66" spans="1:19" ht="108" customHeight="1" x14ac:dyDescent="0.25">
      <c r="A66" s="281" t="s">
        <v>497</v>
      </c>
      <c r="B66" s="282" t="s">
        <v>300</v>
      </c>
      <c r="C66" s="417">
        <f>'Подробно разпределение '!P25</f>
        <v>0</v>
      </c>
      <c r="D66" s="404">
        <f>'Подробно разпределение '!AD25</f>
        <v>2400000</v>
      </c>
      <c r="E66" s="254" t="s">
        <v>500</v>
      </c>
      <c r="F66" s="255" t="s">
        <v>496</v>
      </c>
      <c r="G66" s="240" t="s">
        <v>449</v>
      </c>
      <c r="H66" s="254" t="s">
        <v>394</v>
      </c>
      <c r="I66" s="254" t="s">
        <v>354</v>
      </c>
      <c r="J66" s="231">
        <v>179</v>
      </c>
      <c r="K66" s="269">
        <v>4198693.72</v>
      </c>
      <c r="L66" s="269">
        <v>9948076.8900000006</v>
      </c>
      <c r="M66" s="256"/>
      <c r="N66" s="294">
        <v>5</v>
      </c>
      <c r="O66" s="294"/>
      <c r="P66" s="294"/>
      <c r="Q66" s="294"/>
      <c r="R66" s="294"/>
      <c r="S66" s="294">
        <v>1.25</v>
      </c>
    </row>
    <row r="67" spans="1:19" x14ac:dyDescent="0.25">
      <c r="A67" s="414" t="s">
        <v>291</v>
      </c>
      <c r="B67" s="263" t="s">
        <v>300</v>
      </c>
      <c r="C67" s="415">
        <v>0</v>
      </c>
      <c r="D67" s="262">
        <f>ROUND(D66/6,2)</f>
        <v>400000</v>
      </c>
      <c r="E67" s="284"/>
      <c r="F67" s="284"/>
      <c r="G67" s="285"/>
      <c r="H67" s="283"/>
      <c r="I67" s="283"/>
      <c r="J67" s="257" t="s">
        <v>291</v>
      </c>
      <c r="K67" s="270">
        <v>582034.16</v>
      </c>
      <c r="L67" s="270">
        <v>1626228.4100000001</v>
      </c>
      <c r="M67" s="258">
        <v>0.7</v>
      </c>
      <c r="N67" s="294"/>
      <c r="O67" s="294"/>
      <c r="P67" s="294"/>
      <c r="Q67" s="294"/>
      <c r="R67" s="294"/>
      <c r="S67" s="294"/>
    </row>
    <row r="68" spans="1:19" ht="16.5" customHeight="1" x14ac:dyDescent="0.25">
      <c r="A68" s="414" t="s">
        <v>499</v>
      </c>
      <c r="B68" s="263" t="s">
        <v>300</v>
      </c>
      <c r="C68" s="415">
        <v>0</v>
      </c>
      <c r="D68" s="262">
        <f>D66-D67</f>
        <v>2000000</v>
      </c>
      <c r="E68" s="284"/>
      <c r="F68" s="284"/>
      <c r="G68" s="285"/>
      <c r="H68" s="283"/>
      <c r="I68" s="283"/>
      <c r="J68" s="257" t="s">
        <v>289</v>
      </c>
      <c r="K68" s="270">
        <v>3616659.5599999996</v>
      </c>
      <c r="L68" s="270">
        <v>8321848.4800000004</v>
      </c>
      <c r="M68" s="258">
        <v>0.85</v>
      </c>
      <c r="N68" s="295"/>
      <c r="O68" s="295"/>
      <c r="P68" s="295"/>
      <c r="Q68" s="295"/>
      <c r="R68" s="295"/>
      <c r="S68" s="295"/>
    </row>
    <row r="69" spans="1:19" ht="144.75" customHeight="1" x14ac:dyDescent="0.25">
      <c r="A69" s="281" t="s">
        <v>498</v>
      </c>
      <c r="B69" s="282" t="s">
        <v>300</v>
      </c>
      <c r="C69" s="417">
        <f>'Подробно разпределение '!P32</f>
        <v>0</v>
      </c>
      <c r="D69" s="404">
        <f>'Подробно разпределение '!AD26</f>
        <v>6912000</v>
      </c>
      <c r="E69" s="254" t="s">
        <v>495</v>
      </c>
      <c r="F69" s="255" t="s">
        <v>391</v>
      </c>
      <c r="G69" s="240" t="s">
        <v>449</v>
      </c>
      <c r="H69" s="254" t="s">
        <v>493</v>
      </c>
      <c r="I69" s="254" t="s">
        <v>494</v>
      </c>
      <c r="J69" s="231">
        <v>179</v>
      </c>
      <c r="K69" s="419">
        <f>4198693.72-K60</f>
        <v>3498911.4299999997</v>
      </c>
      <c r="L69" s="419">
        <f>9948076.89-L60</f>
        <v>8290064.0700000003</v>
      </c>
      <c r="M69" s="256"/>
      <c r="N69" s="294">
        <v>5</v>
      </c>
      <c r="O69" s="294"/>
      <c r="P69" s="294"/>
      <c r="Q69" s="294"/>
      <c r="R69" s="294"/>
      <c r="S69" s="294">
        <v>1.25</v>
      </c>
    </row>
    <row r="70" spans="1:19" x14ac:dyDescent="0.25">
      <c r="A70" s="414" t="s">
        <v>291</v>
      </c>
      <c r="B70" s="263" t="s">
        <v>300</v>
      </c>
      <c r="C70" s="262">
        <f>ROUND(C69/6,2)</f>
        <v>0</v>
      </c>
      <c r="D70" s="262">
        <f>ROUND(D69/6,2)</f>
        <v>1152000</v>
      </c>
      <c r="E70" s="284"/>
      <c r="F70" s="284"/>
      <c r="G70" s="285"/>
      <c r="H70" s="283"/>
      <c r="I70" s="283"/>
      <c r="J70" s="257" t="s">
        <v>291</v>
      </c>
      <c r="K70" s="270">
        <v>485028.46903492766</v>
      </c>
      <c r="L70" s="270">
        <v>1355190.33</v>
      </c>
      <c r="M70" s="258">
        <v>0.7</v>
      </c>
      <c r="N70" s="294"/>
      <c r="O70" s="294"/>
      <c r="P70" s="294"/>
      <c r="Q70" s="294"/>
      <c r="R70" s="294"/>
      <c r="S70" s="294"/>
    </row>
    <row r="71" spans="1:19" ht="16.5" customHeight="1" x14ac:dyDescent="0.25">
      <c r="A71" s="414" t="s">
        <v>499</v>
      </c>
      <c r="B71" s="263" t="s">
        <v>300</v>
      </c>
      <c r="C71" s="262">
        <f>C69-C70</f>
        <v>0</v>
      </c>
      <c r="D71" s="262">
        <f>D69-D70</f>
        <v>5760000</v>
      </c>
      <c r="E71" s="284"/>
      <c r="F71" s="284"/>
      <c r="G71" s="285"/>
      <c r="H71" s="283"/>
      <c r="I71" s="283"/>
      <c r="J71" s="257" t="s">
        <v>289</v>
      </c>
      <c r="K71" s="270">
        <v>3013882.9609650718</v>
      </c>
      <c r="L71" s="270">
        <v>6934873.7400000002</v>
      </c>
      <c r="M71" s="258">
        <v>0.85</v>
      </c>
      <c r="N71" s="295"/>
      <c r="O71" s="295"/>
      <c r="P71" s="295"/>
      <c r="Q71" s="295"/>
      <c r="R71" s="295"/>
      <c r="S71" s="295"/>
    </row>
    <row r="72" spans="1:19" x14ac:dyDescent="0.2">
      <c r="N72" s="352">
        <f>SUM(N3:N69)</f>
        <v>100</v>
      </c>
      <c r="O72" s="352">
        <f>SUM(O3:O65)</f>
        <v>100</v>
      </c>
      <c r="P72" s="352">
        <f>SUM(P3:P65)</f>
        <v>100</v>
      </c>
      <c r="Q72" s="352">
        <f>SUM(Q3:Q65)</f>
        <v>100</v>
      </c>
      <c r="R72" s="352">
        <f>SUM(R3:R65)</f>
        <v>100</v>
      </c>
      <c r="S72" s="352">
        <f>SUM(S3:S71)</f>
        <v>100</v>
      </c>
    </row>
    <row r="73" spans="1:19" x14ac:dyDescent="0.2">
      <c r="A73" s="311"/>
      <c r="B73" s="311"/>
      <c r="C73" s="320"/>
      <c r="D73" s="320"/>
      <c r="E73" s="311"/>
      <c r="F73" s="321"/>
      <c r="G73" s="322"/>
      <c r="H73" s="311"/>
      <c r="I73" s="311"/>
      <c r="K73" s="259">
        <f t="shared" ref="K73:L75" si="0">+K3+K6+K9+K12+K15+K18+K21+K24+K27+K30+K33+K36+K39+K42+K45+K48+K51+K54+K57+K60+K63+K66+K69</f>
        <v>100279500</v>
      </c>
      <c r="L73" s="259">
        <f t="shared" si="0"/>
        <v>237594893.37999994</v>
      </c>
    </row>
    <row r="74" spans="1:19" x14ac:dyDescent="0.2">
      <c r="A74" s="311"/>
      <c r="B74" s="311"/>
      <c r="C74" s="320"/>
      <c r="D74" s="320"/>
      <c r="E74" s="311"/>
      <c r="F74" s="321"/>
      <c r="G74" s="322"/>
      <c r="H74" s="311"/>
      <c r="I74" s="311"/>
      <c r="K74" s="259">
        <f t="shared" si="0"/>
        <v>13901013.003396407</v>
      </c>
      <c r="L74" s="259">
        <f t="shared" si="0"/>
        <v>38840026.079999998</v>
      </c>
      <c r="M74" s="409"/>
    </row>
    <row r="75" spans="1:19" x14ac:dyDescent="0.2">
      <c r="A75" s="311"/>
      <c r="B75" s="311"/>
      <c r="C75" s="320"/>
      <c r="D75" s="320"/>
      <c r="E75" s="311"/>
      <c r="F75" s="321"/>
      <c r="G75" s="322"/>
      <c r="H75" s="311"/>
      <c r="I75" s="311"/>
      <c r="J75" s="409"/>
      <c r="K75" s="259">
        <f t="shared" si="0"/>
        <v>86378486.996603593</v>
      </c>
      <c r="L75" s="259">
        <f t="shared" si="0"/>
        <v>198754867.30000001</v>
      </c>
      <c r="M75" s="409"/>
    </row>
    <row r="76" spans="1:19" x14ac:dyDescent="0.2">
      <c r="A76" s="311"/>
      <c r="B76" s="311"/>
      <c r="C76" s="320"/>
      <c r="D76" s="320"/>
      <c r="E76" s="311"/>
      <c r="F76" s="321"/>
      <c r="G76" s="322"/>
      <c r="H76" s="311"/>
      <c r="I76" s="311"/>
    </row>
    <row r="77" spans="1:19" x14ac:dyDescent="0.2">
      <c r="A77" s="311"/>
      <c r="B77" s="311"/>
      <c r="C77" s="320"/>
      <c r="D77" s="320"/>
      <c r="E77" s="311"/>
      <c r="F77" s="321"/>
      <c r="G77" s="322"/>
      <c r="H77" s="311"/>
      <c r="I77" s="311"/>
    </row>
    <row r="78" spans="1:19" x14ac:dyDescent="0.2">
      <c r="A78" s="311"/>
      <c r="B78" s="311"/>
      <c r="C78" s="320"/>
      <c r="D78" s="320"/>
      <c r="E78" s="311"/>
      <c r="F78" s="321"/>
      <c r="G78" s="322"/>
      <c r="H78" s="311"/>
      <c r="I78" s="311"/>
    </row>
    <row r="79" spans="1:19" x14ac:dyDescent="0.2">
      <c r="A79" s="311"/>
      <c r="B79" s="311"/>
      <c r="C79" s="320"/>
      <c r="D79" s="320"/>
      <c r="E79" s="311"/>
      <c r="F79" s="321"/>
      <c r="G79" s="322"/>
      <c r="H79" s="311"/>
      <c r="I79" s="311"/>
      <c r="J79" s="372">
        <v>179</v>
      </c>
      <c r="K79" s="372">
        <f t="shared" ref="K79:L81" si="1">+K51+K57+K60+K63+K66+K69</f>
        <v>20664669.399999999</v>
      </c>
      <c r="L79" s="372">
        <f t="shared" si="1"/>
        <v>48961353.800000004</v>
      </c>
      <c r="N79" s="248"/>
    </row>
    <row r="80" spans="1:19" x14ac:dyDescent="0.2">
      <c r="A80" s="311"/>
      <c r="B80" s="311"/>
      <c r="C80" s="320"/>
      <c r="D80" s="320"/>
      <c r="E80" s="311"/>
      <c r="F80" s="321"/>
      <c r="G80" s="322"/>
      <c r="H80" s="311"/>
      <c r="I80" s="311"/>
      <c r="J80" s="257" t="s">
        <v>291</v>
      </c>
      <c r="K80" s="412">
        <f t="shared" si="1"/>
        <v>2864591.8933964036</v>
      </c>
      <c r="L80" s="412">
        <f t="shared" si="1"/>
        <v>8003792.620000001</v>
      </c>
    </row>
    <row r="81" spans="1:14" ht="24" x14ac:dyDescent="0.2">
      <c r="A81" s="311"/>
      <c r="B81" s="311"/>
      <c r="C81" s="320"/>
      <c r="D81" s="320"/>
      <c r="E81" s="311"/>
      <c r="F81" s="321"/>
      <c r="G81" s="322"/>
      <c r="H81" s="311"/>
      <c r="I81" s="311"/>
      <c r="J81" s="257" t="s">
        <v>289</v>
      </c>
      <c r="K81" s="412">
        <f t="shared" si="1"/>
        <v>17800077.506603595</v>
      </c>
      <c r="L81" s="412">
        <f t="shared" si="1"/>
        <v>40957561.18</v>
      </c>
    </row>
    <row r="82" spans="1:14" x14ac:dyDescent="0.2">
      <c r="A82" s="311"/>
      <c r="B82" s="311"/>
      <c r="C82" s="320"/>
      <c r="D82" s="320"/>
      <c r="E82" s="311"/>
      <c r="F82" s="321"/>
      <c r="G82" s="322"/>
      <c r="H82" s="311"/>
      <c r="I82" s="311"/>
      <c r="J82" s="372">
        <v>180</v>
      </c>
      <c r="K82" s="372">
        <f>+K9+K12+K15+K18+K21+K24+K27+K30</f>
        <v>47060085.009999998</v>
      </c>
      <c r="L82" s="372">
        <f>+L9+L12+L15+L18+L21+L24+L27+L30</f>
        <v>111500713.39</v>
      </c>
      <c r="N82" s="248"/>
    </row>
    <row r="83" spans="1:14" x14ac:dyDescent="0.2">
      <c r="A83" s="311"/>
      <c r="B83" s="311"/>
      <c r="C83" s="320"/>
      <c r="D83" s="320"/>
      <c r="E83" s="311"/>
      <c r="F83" s="321"/>
      <c r="G83" s="322"/>
      <c r="H83" s="311"/>
      <c r="I83" s="311"/>
      <c r="J83" s="257" t="s">
        <v>291</v>
      </c>
      <c r="K83" s="412">
        <f t="shared" ref="K83:L83" si="2">+K10+K13+K16+K19+K22+K25+K28+K31</f>
        <v>6523595.0800000001</v>
      </c>
      <c r="L83" s="412">
        <f t="shared" si="2"/>
        <v>18227204.100000001</v>
      </c>
    </row>
    <row r="84" spans="1:14" ht="24" x14ac:dyDescent="0.2">
      <c r="A84" s="311"/>
      <c r="B84" s="311"/>
      <c r="C84" s="320"/>
      <c r="D84" s="320"/>
      <c r="E84" s="311"/>
      <c r="F84" s="321"/>
      <c r="G84" s="322"/>
      <c r="H84" s="311"/>
      <c r="I84" s="311"/>
      <c r="J84" s="257" t="s">
        <v>289</v>
      </c>
      <c r="K84" s="412">
        <f t="shared" ref="K84:L84" si="3">+K11+K14+K17+K20+K23+K26+K29+K32</f>
        <v>40536489.929999992</v>
      </c>
      <c r="L84" s="412">
        <f t="shared" si="3"/>
        <v>93273509.290000007</v>
      </c>
    </row>
    <row r="85" spans="1:14" x14ac:dyDescent="0.2">
      <c r="J85" s="372">
        <v>181</v>
      </c>
      <c r="K85" s="372">
        <f>+K3+K6+K48+K54</f>
        <v>11530293.919999998</v>
      </c>
      <c r="L85" s="372">
        <f>+L3+L6+L48+L54</f>
        <v>27319032.590000004</v>
      </c>
      <c r="N85" s="248"/>
    </row>
    <row r="86" spans="1:14" x14ac:dyDescent="0.2">
      <c r="J86" s="257" t="s">
        <v>291</v>
      </c>
      <c r="K86" s="412">
        <f t="shared" ref="K86:L86" si="4">+K4+K7+K49+K55</f>
        <v>1598360.22</v>
      </c>
      <c r="L86" s="412">
        <f t="shared" si="4"/>
        <v>4465886.9800000014</v>
      </c>
    </row>
    <row r="87" spans="1:14" ht="24" x14ac:dyDescent="0.2">
      <c r="J87" s="257" t="s">
        <v>289</v>
      </c>
      <c r="K87" s="412">
        <f t="shared" ref="K87:L87" si="5">+K5+K8+K50+K56</f>
        <v>9931933.7000000011</v>
      </c>
      <c r="L87" s="412">
        <f t="shared" si="5"/>
        <v>22853145.609999999</v>
      </c>
    </row>
    <row r="88" spans="1:14" x14ac:dyDescent="0.2">
      <c r="J88" s="372">
        <v>182</v>
      </c>
      <c r="K88" s="372">
        <f>+K33+K36+K39+K42+K45</f>
        <v>21024451.670000002</v>
      </c>
      <c r="L88" s="372">
        <f>+L33+L36+L39+L42+L45</f>
        <v>49813793.600000001</v>
      </c>
      <c r="N88" s="248"/>
    </row>
    <row r="89" spans="1:14" x14ac:dyDescent="0.2">
      <c r="J89" s="257" t="s">
        <v>291</v>
      </c>
      <c r="K89" s="412">
        <f t="shared" ref="K89:L89" si="6">+K34+K37+K40+K43+K46</f>
        <v>2914465.81</v>
      </c>
      <c r="L89" s="412">
        <f t="shared" si="6"/>
        <v>8143142.3800000008</v>
      </c>
    </row>
    <row r="90" spans="1:14" ht="24" x14ac:dyDescent="0.2">
      <c r="J90" s="257" t="s">
        <v>289</v>
      </c>
      <c r="K90" s="412">
        <f t="shared" ref="K90:L90" si="7">+K35+K38+K41+K44+K47</f>
        <v>18109985.860000003</v>
      </c>
      <c r="L90" s="412">
        <f t="shared" si="7"/>
        <v>41670651.219999999</v>
      </c>
    </row>
    <row r="91" spans="1:14" x14ac:dyDescent="0.2">
      <c r="K91" s="413">
        <f>+K79+K82+K85+K88</f>
        <v>100279500</v>
      </c>
      <c r="L91" s="413">
        <f>+L79+L82+L85+L88</f>
        <v>237594893.38</v>
      </c>
    </row>
  </sheetData>
  <autoFilter ref="A1:M73"/>
  <customSheetViews>
    <customSheetView guid="{6BEE494D-3BDB-46C2-9750-A57C1F94B9B8}" scale="120" fitToPage="1" showAutoFilter="1" topLeftCell="D1">
      <pane xSplit="2.8761552680221811" ySplit="1" topLeftCell="I69" activePane="bottomRight"/>
      <selection pane="bottomRight" activeCell="L89" sqref="L89"/>
      <pageMargins left="0.25" right="0.25" top="0.75" bottom="0.75" header="0.3" footer="0.3"/>
      <pageSetup paperSize="9" scale="33" fitToHeight="0" orientation="landscape" r:id="rId1"/>
      <autoFilter ref="A1:M70"/>
    </customSheetView>
    <customSheetView guid="{B426F9F8-EB1A-4D7B-9478-7E22D414CC12}" scale="120" showPageBreaks="1" fitToPage="1" printArea="1" showAutoFilter="1">
      <pane xSplit="1" ySplit="1" topLeftCell="B2" activePane="bottomRight" state="frozen"/>
      <selection pane="bottomRight" activeCell="H5" sqref="H5"/>
      <pageMargins left="0.25" right="0.25" top="0.75" bottom="0.75" header="0.3" footer="0.3"/>
      <pageSetup paperSize="9" fitToHeight="0" orientation="landscape" r:id="rId2"/>
      <autoFilter ref="A1:M70"/>
    </customSheetView>
    <customSheetView guid="{13EBDE9D-EC74-4522-9EED-363E735B4A78}" scale="120" showPageBreaks="1" fitToPage="1" printArea="1" showAutoFilter="1" topLeftCell="A49">
      <pane xSplit="4.5205047318611991" ySplit="8.0061255742725876" topLeftCell="A113"/>
      <selection activeCell="E60" sqref="E60"/>
      <pageMargins left="0.25" right="0.25" top="0.75" bottom="0.75" header="0.3" footer="0.3"/>
      <pageSetup paperSize="9" scale="33" fitToHeight="0" orientation="landscape" r:id="rId3"/>
      <autoFilter ref="A1:M70"/>
    </customSheetView>
    <customSheetView guid="{F67C426D-26F1-4B15-961D-40AFD17A9EE3}" scale="115" showPageBreaks="1" printArea="1" showAutoFilter="1">
      <pane xSplit="4" ySplit="1" topLeftCell="F23" activePane="bottomRight" state="frozen"/>
      <selection pane="bottomRight" activeCell="F27" sqref="F27"/>
      <pageMargins left="0.23622047244094491" right="0.23622047244094491" top="0.74803149606299213" bottom="0.74803149606299213" header="0.31496062992125984" footer="0.31496062992125984"/>
      <pageSetup paperSize="8" fitToHeight="0" orientation="landscape" r:id="rId4"/>
      <autoFilter ref="A1:M70"/>
    </customSheetView>
    <customSheetView guid="{B777B674-73ED-4225-A0AA-917FDFF5A819}" scale="85" showAutoFilter="1">
      <pane xSplit="4" ySplit="1" topLeftCell="E37" activePane="bottomRight" state="frozen"/>
      <selection pane="bottomRight" activeCell="N39" sqref="N39"/>
      <pageMargins left="0.23622047244094491" right="0.23622047244094491" top="0.74803149606299213" bottom="0.74803149606299213" header="0.31496062992125984" footer="0.31496062992125984"/>
      <pageSetup paperSize="8" fitToHeight="0" orientation="landscape" r:id="rId5"/>
      <autoFilter ref="A1:M70"/>
    </customSheetView>
    <customSheetView guid="{DE1004AE-EE6B-445B-9B87-77176E699CEC}" showAutoFilter="1">
      <pane xSplit="4" ySplit="1" topLeftCell="E35" activePane="bottomRight" state="frozen"/>
      <selection pane="bottomRight" activeCell="A36" sqref="A36:XFD36"/>
      <pageMargins left="0.23622047244094491" right="0.23622047244094491" top="0.74803149606299213" bottom="0.74803149606299213" header="0.31496062992125984" footer="0.31496062992125984"/>
      <pageSetup paperSize="8" fitToHeight="0" orientation="landscape" r:id="rId6"/>
      <autoFilter ref="A1:M70"/>
    </customSheetView>
    <customSheetView guid="{7FBA698A-B4F9-473C-A697-22EC99EC7386}" scale="120" fitToPage="1" showAutoFilter="1">
      <pane xSplit="1" ySplit="1" topLeftCell="I8" activePane="bottomRight" state="frozen"/>
      <selection pane="bottomRight" activeCell="O9" sqref="O9"/>
      <pageMargins left="0.25" right="0.25" top="0.75" bottom="0.75" header="0.3" footer="0.3"/>
      <pageSetup paperSize="9" fitToHeight="0" orientation="landscape" r:id="rId7"/>
      <autoFilter ref="A1:M70"/>
    </customSheetView>
    <customSheetView guid="{53CF95D2-2F99-49E8-AB7F-7627DCDE0DC8}" scale="85" showAutoFilter="1">
      <pane xSplit="1" ySplit="1" topLeftCell="B2" activePane="bottomRight" state="frozen"/>
      <selection pane="bottomRight" activeCell="H3" sqref="H3"/>
      <pageMargins left="0.23622047244094491" right="0.23622047244094491" top="0.74803149606299213" bottom="0.74803149606299213" header="0.31496062992125984" footer="0.31496062992125984"/>
      <pageSetup paperSize="8" fitToHeight="0" orientation="landscape" r:id="rId8"/>
      <autoFilter ref="A1:M70"/>
    </customSheetView>
    <customSheetView guid="{AD504361-49F3-4986-BDBF-FB73E2299976}" scale="120" showPageBreaks="1" fitToPage="1" printArea="1" showAutoFilter="1">
      <pane xSplit="4" ySplit="2" topLeftCell="J19" activePane="bottomRight" state="frozen"/>
      <selection pane="bottomRight" activeCell="L21" sqref="L21"/>
      <pageMargins left="0.25" right="0.25" top="0.75" bottom="0.75" header="0.3" footer="0.3"/>
      <pageSetup paperSize="9" scale="80" fitToHeight="0" orientation="landscape" r:id="rId9"/>
      <autoFilter ref="A1:M70"/>
    </customSheetView>
    <customSheetView guid="{DD0EA6D3-BC8C-40D3-B12F-B88059C8E3DC}" scale="120" fitToPage="1" showAutoFilter="1">
      <pane xSplit="1" ySplit="1" topLeftCell="F33" activePane="bottomRight" state="frozen"/>
      <selection pane="bottomRight" activeCell="F33" sqref="F33"/>
      <pageMargins left="0.25" right="0.25" top="0.75" bottom="0.75" header="0.3" footer="0.3"/>
      <pageSetup paperSize="9" scale="82" fitToHeight="0" orientation="landscape" r:id="rId10"/>
      <autoFilter ref="A1:M70"/>
    </customSheetView>
    <customSheetView guid="{2A6315F5-C9A2-43A7-B337-00FD30A3EB26}" scale="110" showPageBreaks="1" fitToPage="1" printArea="1" showAutoFilter="1">
      <pane xSplit="7" ySplit="1" topLeftCell="H2" activePane="bottomRight" state="frozen"/>
      <selection pane="bottomRight"/>
      <pageMargins left="0.25" right="0.25" top="0.75" bottom="0.75" header="0.3" footer="0.3"/>
      <pageSetup paperSize="9" scale="73" fitToHeight="0" orientation="landscape" r:id="rId11"/>
      <autoFilter ref="G1:O67"/>
    </customSheetView>
    <customSheetView guid="{D1BD168D-40B4-46AB-88B7-64C22520CFA0}" scale="120" showPageBreaks="1" fitToPage="1" printArea="1" showAutoFilter="1">
      <pane xSplit="4" ySplit="2" topLeftCell="E52" activePane="bottomRight" state="frozen"/>
      <selection pane="bottomRight" activeCell="A57" sqref="A57"/>
      <pageMargins left="0.25" right="0.25" top="0.75" bottom="0.75" header="0.3" footer="0.3"/>
      <pageSetup paperSize="9" fitToHeight="0" orientation="landscape" r:id="rId12"/>
      <autoFilter ref="A1:M72"/>
    </customSheetView>
    <customSheetView guid="{56BC42A3-D967-4F27-BD5A-CB0B8CB7F657}" scale="150" showPageBreaks="1" fitToPage="1" printArea="1" showAutoFilter="1">
      <pane xSplit="4" ySplit="2" topLeftCell="I51" activePane="bottomRight" state="frozen"/>
      <selection pane="bottomRight" activeCell="I51" sqref="I51"/>
      <pageMargins left="0.25" right="0.25" top="0.75" bottom="0.75" header="0.3" footer="0.3"/>
      <pageSetup paperSize="9" scale="92" fitToHeight="0" orientation="landscape" r:id="rId13"/>
      <autoFilter ref="A1:M68"/>
    </customSheetView>
    <customSheetView guid="{DE419AE1-55C7-41E8-9A94-E4062EF30970}" scale="120" showPageBreaks="1" fitToPage="1" printArea="1" showAutoFilter="1">
      <pane xSplit="4" ySplit="2" topLeftCell="E15" activePane="bottomRight" state="frozen"/>
      <selection pane="bottomRight" activeCell="A15" sqref="A15"/>
      <pageMargins left="0.25" right="0.25" top="0.75" bottom="0.75" header="0.3" footer="0.3"/>
      <pageSetup paperSize="9" scale="85" fitToHeight="0" orientation="landscape" r:id="rId14"/>
      <autoFilter ref="A1:M70"/>
    </customSheetView>
    <customSheetView guid="{6B77031E-918C-40F9-A42D-E4EA46622624}" fitToPage="1" showAutoFilter="1">
      <pane xSplit="4" ySplit="2" topLeftCell="I73" activePane="bottomRight" state="frozen"/>
      <selection pane="bottomRight" activeCell="L90" sqref="L90"/>
      <pageMargins left="0.25" right="0.25" top="0.75" bottom="0.75" header="0.3" footer="0.3"/>
      <pageSetup paperSize="9" scale="80" fitToHeight="0" orientation="landscape" r:id="rId15"/>
      <autoFilter ref="A1:M70"/>
    </customSheetView>
    <customSheetView guid="{77799D3C-38E2-410A-80FA-AECD8E6AB89B}" scale="130" showPageBreaks="1" fitToPage="1" printArea="1" showAutoFilter="1" topLeftCell="A7">
      <selection activeCell="A12" sqref="A12"/>
      <pageMargins left="0.25" right="0.25" top="0.75" bottom="0.75" header="0.3" footer="0.3"/>
      <pageSetup paperSize="9" fitToHeight="0" orientation="landscape" r:id="rId16"/>
      <autoFilter ref="A1:M70"/>
    </customSheetView>
    <customSheetView guid="{32A281B9-28FB-4D0E-8C01-BFBADAC8C3C9}" showPageBreaks="1" printArea="1" showAutoFilter="1" hiddenColumns="1">
      <pane xSplit="3" ySplit="1" topLeftCell="E31" activePane="bottomRight" state="frozen"/>
      <selection pane="bottomRight" activeCell="E33" sqref="E33"/>
      <pageMargins left="0.23622047244094491" right="0.23622047244094491" top="0.74803149606299213" bottom="0.74803149606299213" header="0.31496062992125984" footer="0.31496062992125984"/>
      <pageSetup paperSize="8" fitToHeight="0" orientation="landscape" r:id="rId17"/>
      <autoFilter ref="A1:M70"/>
    </customSheetView>
  </customSheetViews>
  <pageMargins left="0.25" right="0.25" top="0.75" bottom="0.75" header="0.3" footer="0.3"/>
  <pageSetup paperSize="9" scale="33" fitToHeight="0" orientation="landscape" r:id="rId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opLeftCell="A13" zoomScaleNormal="70" workbookViewId="0">
      <selection activeCell="D25" sqref="D25"/>
    </sheetView>
  </sheetViews>
  <sheetFormatPr defaultColWidth="9.28515625" defaultRowHeight="15" x14ac:dyDescent="0.25"/>
  <cols>
    <col min="1" max="1" width="8.5703125" style="130" customWidth="1"/>
    <col min="2" max="2" width="40.28515625" style="131" customWidth="1"/>
    <col min="3" max="3" width="11.42578125" style="133" customWidth="1"/>
    <col min="4" max="4" width="6.7109375" style="133" customWidth="1"/>
    <col min="5" max="5" width="6.42578125" style="133" bestFit="1" customWidth="1"/>
    <col min="6" max="6" width="7" style="331" bestFit="1" customWidth="1"/>
    <col min="7" max="7" width="7.28515625" style="133" customWidth="1"/>
    <col min="8" max="8" width="7.42578125" style="133" customWidth="1"/>
    <col min="9" max="9" width="6" style="133" bestFit="1" customWidth="1"/>
    <col min="10" max="10" width="6.5703125" style="134" bestFit="1" customWidth="1"/>
    <col min="11" max="11" width="6.42578125" style="134" customWidth="1"/>
    <col min="12" max="12" width="6.7109375" style="133" bestFit="1" customWidth="1"/>
    <col min="13" max="13" width="8.7109375" style="133" customWidth="1"/>
    <col min="14" max="15" width="6.5703125" style="133" customWidth="1"/>
    <col min="16" max="16" width="11" style="133" customWidth="1"/>
    <col min="17" max="17" width="10" style="133" customWidth="1"/>
    <col min="18" max="19" width="6.7109375" style="133" customWidth="1"/>
    <col min="20" max="20" width="7" style="331" customWidth="1"/>
    <col min="21" max="22" width="7" style="133" customWidth="1"/>
    <col min="23" max="23" width="6.42578125" style="133" bestFit="1" customWidth="1"/>
    <col min="24" max="24" width="5.7109375" style="134" customWidth="1"/>
    <col min="25" max="25" width="6.28515625" style="134" customWidth="1"/>
    <col min="26" max="26" width="6.5703125" style="133" customWidth="1"/>
    <col min="27" max="27" width="7.5703125" style="133" customWidth="1"/>
    <col min="28" max="28" width="6.5703125" style="133" customWidth="1"/>
    <col min="29" max="29" width="7.28515625" style="133" customWidth="1"/>
    <col min="30" max="30" width="11.5703125" style="133" customWidth="1"/>
    <col min="31" max="16384" width="9.28515625" style="126"/>
  </cols>
  <sheetData>
    <row r="1" spans="1:30" x14ac:dyDescent="0.25">
      <c r="A1" s="468" t="s">
        <v>458</v>
      </c>
      <c r="B1" s="470" t="s">
        <v>59</v>
      </c>
      <c r="C1" s="472" t="s">
        <v>60</v>
      </c>
      <c r="D1" s="473"/>
      <c r="E1" s="473"/>
      <c r="F1" s="473"/>
      <c r="G1" s="473"/>
      <c r="H1" s="473"/>
      <c r="I1" s="473"/>
      <c r="J1" s="473"/>
      <c r="K1" s="473"/>
      <c r="L1" s="473"/>
      <c r="M1" s="473"/>
      <c r="N1" s="473"/>
      <c r="O1" s="473"/>
      <c r="P1" s="474"/>
      <c r="Q1" s="475" t="s">
        <v>299</v>
      </c>
      <c r="R1" s="476"/>
      <c r="S1" s="476"/>
      <c r="T1" s="476"/>
      <c r="U1" s="476"/>
      <c r="V1" s="476"/>
      <c r="W1" s="476"/>
      <c r="X1" s="476"/>
      <c r="Y1" s="476"/>
      <c r="Z1" s="476"/>
      <c r="AA1" s="476"/>
      <c r="AB1" s="476"/>
      <c r="AC1" s="476"/>
      <c r="AD1" s="477"/>
    </row>
    <row r="2" spans="1:30" ht="48" x14ac:dyDescent="0.25">
      <c r="A2" s="469"/>
      <c r="B2" s="471"/>
      <c r="C2" s="162" t="s">
        <v>61</v>
      </c>
      <c r="D2" s="162" t="s">
        <v>62</v>
      </c>
      <c r="E2" s="162" t="s">
        <v>63</v>
      </c>
      <c r="F2" s="326" t="s">
        <v>416</v>
      </c>
      <c r="G2" s="162" t="s">
        <v>64</v>
      </c>
      <c r="H2" s="162" t="s">
        <v>290</v>
      </c>
      <c r="I2" s="162" t="s">
        <v>451</v>
      </c>
      <c r="J2" s="162" t="s">
        <v>65</v>
      </c>
      <c r="K2" s="162" t="s">
        <v>66</v>
      </c>
      <c r="L2" s="162" t="s">
        <v>67</v>
      </c>
      <c r="M2" s="162" t="s">
        <v>68</v>
      </c>
      <c r="N2" s="162" t="s">
        <v>69</v>
      </c>
      <c r="O2" s="162" t="s">
        <v>309</v>
      </c>
      <c r="P2" s="163" t="s">
        <v>70</v>
      </c>
      <c r="Q2" s="162" t="s">
        <v>71</v>
      </c>
      <c r="R2" s="162" t="s">
        <v>72</v>
      </c>
      <c r="S2" s="162" t="s">
        <v>73</v>
      </c>
      <c r="T2" s="162" t="s">
        <v>416</v>
      </c>
      <c r="U2" s="162" t="s">
        <v>417</v>
      </c>
      <c r="V2" s="162" t="s">
        <v>290</v>
      </c>
      <c r="W2" s="162" t="s">
        <v>74</v>
      </c>
      <c r="X2" s="162" t="s">
        <v>308</v>
      </c>
      <c r="Y2" s="162" t="s">
        <v>75</v>
      </c>
      <c r="Z2" s="162" t="s">
        <v>76</v>
      </c>
      <c r="AA2" s="162" t="s">
        <v>77</v>
      </c>
      <c r="AB2" s="162" t="s">
        <v>78</v>
      </c>
      <c r="AC2" s="162" t="s">
        <v>309</v>
      </c>
      <c r="AD2" s="163" t="s">
        <v>79</v>
      </c>
    </row>
    <row r="3" spans="1:30" ht="33.75" customHeight="1" x14ac:dyDescent="0.25">
      <c r="A3" s="353" t="s">
        <v>80</v>
      </c>
      <c r="B3" s="169" t="s">
        <v>304</v>
      </c>
      <c r="C3" s="169">
        <v>11</v>
      </c>
      <c r="D3" s="169">
        <v>6</v>
      </c>
      <c r="E3" s="169"/>
      <c r="F3" s="169">
        <v>3</v>
      </c>
      <c r="G3" s="169"/>
      <c r="H3" s="169">
        <v>3</v>
      </c>
      <c r="I3" s="169"/>
      <c r="J3" s="169"/>
      <c r="K3" s="169"/>
      <c r="L3" s="169"/>
      <c r="M3" s="169"/>
      <c r="N3" s="169"/>
      <c r="O3" s="169"/>
      <c r="P3" s="166">
        <f>SUM(C3:O3)</f>
        <v>23</v>
      </c>
      <c r="Q3" s="164">
        <v>28</v>
      </c>
      <c r="R3" s="164">
        <v>16</v>
      </c>
      <c r="S3" s="164"/>
      <c r="T3" s="165">
        <v>14</v>
      </c>
      <c r="U3" s="165"/>
      <c r="V3" s="164">
        <v>8</v>
      </c>
      <c r="W3" s="165"/>
      <c r="X3" s="165"/>
      <c r="Y3" s="165"/>
      <c r="Z3" s="164"/>
      <c r="AA3" s="164"/>
      <c r="AB3" s="164"/>
      <c r="AC3" s="164"/>
      <c r="AD3" s="166">
        <f>SUM(Q3:AC3)</f>
        <v>66</v>
      </c>
    </row>
    <row r="4" spans="1:30" x14ac:dyDescent="0.25">
      <c r="A4" s="169" t="s">
        <v>303</v>
      </c>
      <c r="B4" s="169" t="s">
        <v>329</v>
      </c>
      <c r="C4" s="169"/>
      <c r="D4" s="169"/>
      <c r="E4" s="169"/>
      <c r="F4" s="169"/>
      <c r="G4" s="169"/>
      <c r="H4" s="169"/>
      <c r="I4" s="169">
        <v>1</v>
      </c>
      <c r="J4" s="169"/>
      <c r="K4" s="169"/>
      <c r="L4" s="169"/>
      <c r="M4" s="169"/>
      <c r="N4" s="169">
        <v>1</v>
      </c>
      <c r="O4" s="169"/>
      <c r="P4" s="166">
        <f t="shared" ref="P4:P24" si="0">SUM(C4:O4)</f>
        <v>2</v>
      </c>
      <c r="Q4" s="164">
        <v>4</v>
      </c>
      <c r="R4" s="164"/>
      <c r="S4" s="164"/>
      <c r="T4" s="165">
        <v>1</v>
      </c>
      <c r="U4" s="165"/>
      <c r="V4" s="164"/>
      <c r="W4" s="165">
        <v>4</v>
      </c>
      <c r="X4" s="165"/>
      <c r="Y4" s="165"/>
      <c r="Z4" s="164"/>
      <c r="AA4" s="164"/>
      <c r="AB4" s="164">
        <v>1</v>
      </c>
      <c r="AC4" s="164"/>
      <c r="AD4" s="166">
        <f>SUM(Q4:AC4)</f>
        <v>10</v>
      </c>
    </row>
    <row r="5" spans="1:30" ht="30" x14ac:dyDescent="0.25">
      <c r="A5" s="353" t="s">
        <v>306</v>
      </c>
      <c r="B5" s="169" t="s">
        <v>330</v>
      </c>
      <c r="C5" s="169">
        <v>13</v>
      </c>
      <c r="D5" s="169"/>
      <c r="E5" s="169">
        <v>5</v>
      </c>
      <c r="F5" s="169">
        <v>4</v>
      </c>
      <c r="G5" s="169">
        <v>3</v>
      </c>
      <c r="H5" s="169"/>
      <c r="I5" s="169"/>
      <c r="J5" s="169"/>
      <c r="K5" s="169"/>
      <c r="L5" s="169"/>
      <c r="M5" s="169"/>
      <c r="N5" s="169"/>
      <c r="O5" s="169"/>
      <c r="P5" s="166">
        <f>SUM(C5:O5)</f>
        <v>25</v>
      </c>
      <c r="Q5" s="164">
        <v>24</v>
      </c>
      <c r="R5" s="164"/>
      <c r="S5" s="164">
        <v>9</v>
      </c>
      <c r="T5" s="165">
        <v>3</v>
      </c>
      <c r="U5" s="165">
        <v>8</v>
      </c>
      <c r="V5" s="164"/>
      <c r="W5" s="164"/>
      <c r="X5" s="165"/>
      <c r="Y5" s="165"/>
      <c r="Z5" s="164"/>
      <c r="AA5" s="164"/>
      <c r="AB5" s="164"/>
      <c r="AC5" s="164"/>
      <c r="AD5" s="166">
        <f>SUM(Q5:AC5)</f>
        <v>44</v>
      </c>
    </row>
    <row r="6" spans="1:30" ht="30" x14ac:dyDescent="0.25">
      <c r="A6" s="354" t="s">
        <v>307</v>
      </c>
      <c r="B6" s="169" t="s">
        <v>452</v>
      </c>
      <c r="C6" s="169"/>
      <c r="D6" s="169">
        <v>72</v>
      </c>
      <c r="E6" s="169">
        <v>118</v>
      </c>
      <c r="F6" s="169">
        <v>63</v>
      </c>
      <c r="G6" s="169">
        <v>240</v>
      </c>
      <c r="H6" s="169"/>
      <c r="I6" s="169"/>
      <c r="J6" s="169"/>
      <c r="K6" s="169"/>
      <c r="L6" s="169"/>
      <c r="M6" s="169"/>
      <c r="N6" s="169"/>
      <c r="O6" s="169"/>
      <c r="P6" s="166">
        <f>SUM(C6:O6)</f>
        <v>493</v>
      </c>
      <c r="Q6" s="167"/>
      <c r="R6" s="168">
        <v>216</v>
      </c>
      <c r="S6" s="164">
        <v>610</v>
      </c>
      <c r="T6" s="165">
        <v>173</v>
      </c>
      <c r="U6" s="165">
        <v>720</v>
      </c>
      <c r="V6" s="164"/>
      <c r="W6" s="164"/>
      <c r="X6" s="164"/>
      <c r="Y6" s="164"/>
      <c r="Z6" s="165"/>
      <c r="AA6" s="165"/>
      <c r="AB6" s="164"/>
      <c r="AC6" s="164"/>
      <c r="AD6" s="166">
        <f>SUM(Q6:AC6)</f>
        <v>1719</v>
      </c>
    </row>
    <row r="7" spans="1:30" ht="60" x14ac:dyDescent="0.25">
      <c r="A7" s="169" t="s">
        <v>333</v>
      </c>
      <c r="B7" s="169" t="s">
        <v>412</v>
      </c>
      <c r="C7" s="169"/>
      <c r="D7" s="169"/>
      <c r="E7" s="169"/>
      <c r="F7" s="169"/>
      <c r="G7" s="169">
        <v>92</v>
      </c>
      <c r="H7" s="169"/>
      <c r="I7" s="169"/>
      <c r="J7" s="169"/>
      <c r="K7" s="169"/>
      <c r="L7" s="169"/>
      <c r="M7" s="169"/>
      <c r="N7" s="169"/>
      <c r="O7" s="169"/>
      <c r="P7" s="166">
        <f>SUM(C7:O7)</f>
        <v>92</v>
      </c>
      <c r="Q7" s="167"/>
      <c r="R7" s="168"/>
      <c r="S7" s="164"/>
      <c r="T7" s="165"/>
      <c r="U7" s="165">
        <v>94</v>
      </c>
      <c r="V7" s="164"/>
      <c r="W7" s="164"/>
      <c r="X7" s="164"/>
      <c r="Y7" s="164"/>
      <c r="Z7" s="165"/>
      <c r="AA7" s="165"/>
      <c r="AB7" s="164"/>
      <c r="AC7" s="164"/>
      <c r="AD7" s="166">
        <f>SUM(Q7:AC7)</f>
        <v>94</v>
      </c>
    </row>
    <row r="8" spans="1:30" ht="30" x14ac:dyDescent="0.25">
      <c r="A8" s="169" t="s">
        <v>365</v>
      </c>
      <c r="B8" s="169" t="s">
        <v>328</v>
      </c>
      <c r="C8" s="169"/>
      <c r="D8" s="169"/>
      <c r="E8" s="169"/>
      <c r="F8" s="169"/>
      <c r="G8" s="169"/>
      <c r="H8" s="169">
        <v>0</v>
      </c>
      <c r="I8" s="169"/>
      <c r="J8" s="169"/>
      <c r="K8" s="169"/>
      <c r="L8" s="169"/>
      <c r="M8" s="169"/>
      <c r="N8" s="169"/>
      <c r="O8" s="169"/>
      <c r="P8" s="166">
        <f t="shared" si="0"/>
        <v>0</v>
      </c>
      <c r="Q8" s="167"/>
      <c r="R8" s="168"/>
      <c r="S8" s="164"/>
      <c r="T8" s="165"/>
      <c r="U8" s="165"/>
      <c r="V8" s="327">
        <v>0</v>
      </c>
      <c r="W8" s="164"/>
      <c r="X8" s="164"/>
      <c r="Y8" s="164"/>
      <c r="Z8" s="165"/>
      <c r="AA8" s="165"/>
      <c r="AB8" s="164"/>
      <c r="AC8" s="164"/>
      <c r="AD8" s="166">
        <f t="shared" ref="AD8:AD24" si="1">SUM(Q8:AC8)</f>
        <v>0</v>
      </c>
    </row>
    <row r="9" spans="1:30" x14ac:dyDescent="0.25">
      <c r="A9" s="169" t="s">
        <v>334</v>
      </c>
      <c r="B9" s="169" t="s">
        <v>453</v>
      </c>
      <c r="C9" s="169">
        <v>25</v>
      </c>
      <c r="D9" s="169"/>
      <c r="E9" s="169"/>
      <c r="F9" s="169"/>
      <c r="G9" s="169"/>
      <c r="H9" s="169"/>
      <c r="I9" s="169"/>
      <c r="J9" s="169"/>
      <c r="K9" s="169"/>
      <c r="L9" s="169"/>
      <c r="M9" s="169"/>
      <c r="N9" s="169"/>
      <c r="O9" s="169"/>
      <c r="P9" s="166">
        <f>SUM(C9:O9)</f>
        <v>25</v>
      </c>
      <c r="Q9" s="167">
        <v>75</v>
      </c>
      <c r="R9" s="168"/>
      <c r="S9" s="164"/>
      <c r="T9" s="165"/>
      <c r="U9" s="165"/>
      <c r="V9" s="164"/>
      <c r="W9" s="164"/>
      <c r="X9" s="164"/>
      <c r="Y9" s="164"/>
      <c r="Z9" s="165"/>
      <c r="AA9" s="165"/>
      <c r="AB9" s="164"/>
      <c r="AC9" s="164"/>
      <c r="AD9" s="166">
        <f>SUM(Q9:AC9)</f>
        <v>75</v>
      </c>
    </row>
    <row r="10" spans="1:30" ht="30" x14ac:dyDescent="0.25">
      <c r="A10" s="169" t="s">
        <v>366</v>
      </c>
      <c r="B10" s="169" t="s">
        <v>454</v>
      </c>
      <c r="C10" s="401">
        <v>10</v>
      </c>
      <c r="D10" s="169"/>
      <c r="E10" s="169"/>
      <c r="F10" s="169"/>
      <c r="G10" s="169"/>
      <c r="H10" s="169"/>
      <c r="I10" s="169"/>
      <c r="J10" s="169"/>
      <c r="K10" s="169"/>
      <c r="L10" s="169"/>
      <c r="M10" s="169"/>
      <c r="N10" s="169"/>
      <c r="O10" s="169"/>
      <c r="P10" s="166">
        <f>SUM(C10:O10)</f>
        <v>10</v>
      </c>
      <c r="Q10" s="167">
        <v>30</v>
      </c>
      <c r="R10" s="168"/>
      <c r="S10" s="164"/>
      <c r="T10" s="165"/>
      <c r="U10" s="165"/>
      <c r="V10" s="164"/>
      <c r="W10" s="164"/>
      <c r="X10" s="164"/>
      <c r="Y10" s="164"/>
      <c r="Z10" s="165"/>
      <c r="AA10" s="165"/>
      <c r="AB10" s="164"/>
      <c r="AC10" s="164"/>
      <c r="AD10" s="166">
        <f>SUM(Q10:AC10)</f>
        <v>30</v>
      </c>
    </row>
    <row r="11" spans="1:30" ht="30" x14ac:dyDescent="0.25">
      <c r="A11" s="169" t="s">
        <v>335</v>
      </c>
      <c r="B11" s="169" t="s">
        <v>310</v>
      </c>
      <c r="C11" s="401">
        <v>20</v>
      </c>
      <c r="D11" s="169"/>
      <c r="E11" s="169"/>
      <c r="F11" s="169"/>
      <c r="G11" s="169"/>
      <c r="H11" s="169"/>
      <c r="I11" s="169"/>
      <c r="J11" s="169"/>
      <c r="K11" s="169"/>
      <c r="L11" s="169"/>
      <c r="M11" s="169"/>
      <c r="N11" s="169"/>
      <c r="O11" s="169"/>
      <c r="P11" s="166">
        <f>SUM(C11:O11)</f>
        <v>20</v>
      </c>
      <c r="Q11" s="167">
        <v>40</v>
      </c>
      <c r="R11" s="168"/>
      <c r="S11" s="164"/>
      <c r="T11" s="327"/>
      <c r="U11" s="164"/>
      <c r="V11" s="164"/>
      <c r="W11" s="164"/>
      <c r="X11" s="164"/>
      <c r="Y11" s="164"/>
      <c r="Z11" s="165"/>
      <c r="AA11" s="165"/>
      <c r="AB11" s="164"/>
      <c r="AC11" s="164"/>
      <c r="AD11" s="166">
        <f>SUM(Q11:AC11)</f>
        <v>40</v>
      </c>
    </row>
    <row r="12" spans="1:30" ht="45" x14ac:dyDescent="0.25">
      <c r="A12" s="169" t="s">
        <v>367</v>
      </c>
      <c r="B12" s="169" t="s">
        <v>393</v>
      </c>
      <c r="C12" s="401">
        <v>53.1</v>
      </c>
      <c r="D12" s="169">
        <v>55.04</v>
      </c>
      <c r="E12" s="169">
        <v>30</v>
      </c>
      <c r="F12" s="169">
        <v>9.6</v>
      </c>
      <c r="G12" s="169">
        <v>18.8</v>
      </c>
      <c r="H12" s="169"/>
      <c r="I12" s="169">
        <v>0</v>
      </c>
      <c r="J12" s="169">
        <v>0</v>
      </c>
      <c r="K12" s="169"/>
      <c r="L12" s="169">
        <v>88</v>
      </c>
      <c r="M12" s="169"/>
      <c r="N12" s="169">
        <v>38</v>
      </c>
      <c r="O12" s="169"/>
      <c r="P12" s="319">
        <f t="shared" si="0"/>
        <v>292.53999999999996</v>
      </c>
      <c r="Q12" s="318">
        <v>53.1</v>
      </c>
      <c r="R12" s="318">
        <v>55.04</v>
      </c>
      <c r="S12" s="318">
        <v>30</v>
      </c>
      <c r="T12" s="318">
        <v>9.6</v>
      </c>
      <c r="U12" s="318">
        <v>18.8</v>
      </c>
      <c r="V12" s="318"/>
      <c r="W12" s="318">
        <v>0</v>
      </c>
      <c r="X12" s="318">
        <v>0</v>
      </c>
      <c r="Y12" s="318"/>
      <c r="Z12" s="318">
        <v>88</v>
      </c>
      <c r="AA12" s="318"/>
      <c r="AB12" s="318">
        <v>38</v>
      </c>
      <c r="AC12" s="318"/>
      <c r="AD12" s="319">
        <f t="shared" si="1"/>
        <v>292.53999999999996</v>
      </c>
    </row>
    <row r="13" spans="1:30" x14ac:dyDescent="0.25">
      <c r="A13" s="169" t="s">
        <v>336</v>
      </c>
      <c r="B13" s="169" t="s">
        <v>488</v>
      </c>
      <c r="C13" s="401">
        <f>4+1+1+2</f>
        <v>8</v>
      </c>
      <c r="D13" s="169">
        <f>2+1</f>
        <v>3</v>
      </c>
      <c r="E13" s="169"/>
      <c r="F13" s="169">
        <v>2</v>
      </c>
      <c r="G13" s="169">
        <f>2+1</f>
        <v>3</v>
      </c>
      <c r="H13" s="169">
        <f>2+1</f>
        <v>3</v>
      </c>
      <c r="I13" s="169">
        <v>1</v>
      </c>
      <c r="J13" s="169">
        <v>2</v>
      </c>
      <c r="K13" s="169"/>
      <c r="L13" s="169"/>
      <c r="M13" s="169"/>
      <c r="N13" s="169">
        <v>2</v>
      </c>
      <c r="O13" s="169">
        <v>11</v>
      </c>
      <c r="P13" s="166">
        <f>SUM(C13:O13)</f>
        <v>35</v>
      </c>
      <c r="Q13" s="167">
        <f>12+1+3+3+7</f>
        <v>26</v>
      </c>
      <c r="R13" s="168">
        <f>7+1</f>
        <v>8</v>
      </c>
      <c r="S13" s="164"/>
      <c r="T13" s="165">
        <v>7</v>
      </c>
      <c r="U13" s="164">
        <f>7+3</f>
        <v>10</v>
      </c>
      <c r="V13" s="164">
        <f>7+1</f>
        <v>8</v>
      </c>
      <c r="W13" s="164">
        <v>2</v>
      </c>
      <c r="X13" s="164">
        <v>7</v>
      </c>
      <c r="Y13" s="164"/>
      <c r="Z13" s="165"/>
      <c r="AA13" s="165"/>
      <c r="AB13" s="164">
        <v>7</v>
      </c>
      <c r="AC13" s="164">
        <v>19</v>
      </c>
      <c r="AD13" s="166">
        <f>SUM(Q13:AC13)</f>
        <v>94</v>
      </c>
    </row>
    <row r="14" spans="1:30" x14ac:dyDescent="0.25">
      <c r="A14" s="169" t="s">
        <v>337</v>
      </c>
      <c r="B14" s="169" t="s">
        <v>443</v>
      </c>
      <c r="C14" s="401">
        <f>61*3</f>
        <v>183</v>
      </c>
      <c r="D14" s="169">
        <f>64*2*3</f>
        <v>384</v>
      </c>
      <c r="E14" s="169">
        <f>120*3</f>
        <v>360</v>
      </c>
      <c r="F14" s="169">
        <f>28*3</f>
        <v>84</v>
      </c>
      <c r="G14" s="169">
        <v>45</v>
      </c>
      <c r="H14" s="169">
        <f>3*20</f>
        <v>60</v>
      </c>
      <c r="I14" s="169">
        <f>5*3</f>
        <v>15</v>
      </c>
      <c r="J14" s="169"/>
      <c r="K14" s="169"/>
      <c r="L14" s="169"/>
      <c r="M14" s="169">
        <v>300</v>
      </c>
      <c r="N14" s="169">
        <v>150</v>
      </c>
      <c r="O14" s="169">
        <v>8998.4630000000034</v>
      </c>
      <c r="P14" s="166">
        <f t="shared" si="0"/>
        <v>10579.463000000003</v>
      </c>
      <c r="Q14" s="167">
        <f>61*8</f>
        <v>488</v>
      </c>
      <c r="R14" s="164">
        <f>64*2*8</f>
        <v>1024</v>
      </c>
      <c r="S14" s="164">
        <f>120*8</f>
        <v>960</v>
      </c>
      <c r="T14" s="165">
        <f>28*8</f>
        <v>224</v>
      </c>
      <c r="U14" s="164">
        <f>120</f>
        <v>120</v>
      </c>
      <c r="V14" s="164">
        <f>8*20</f>
        <v>160</v>
      </c>
      <c r="W14" s="164">
        <f>5*8</f>
        <v>40</v>
      </c>
      <c r="X14" s="164"/>
      <c r="Y14" s="164"/>
      <c r="Z14" s="165"/>
      <c r="AA14" s="165">
        <v>300</v>
      </c>
      <c r="AB14" s="164">
        <v>400</v>
      </c>
      <c r="AC14" s="164">
        <v>15801.543333333335</v>
      </c>
      <c r="AD14" s="166">
        <f t="shared" si="1"/>
        <v>19517.543333333335</v>
      </c>
    </row>
    <row r="15" spans="1:30" ht="45" x14ac:dyDescent="0.25">
      <c r="A15" s="169" t="s">
        <v>338</v>
      </c>
      <c r="B15" s="169" t="s">
        <v>444</v>
      </c>
      <c r="C15" s="401"/>
      <c r="D15" s="169"/>
      <c r="E15" s="169"/>
      <c r="F15" s="169"/>
      <c r="G15" s="169"/>
      <c r="H15" s="169"/>
      <c r="I15" s="169"/>
      <c r="J15" s="169"/>
      <c r="K15" s="169"/>
      <c r="L15" s="169"/>
      <c r="M15" s="169"/>
      <c r="N15" s="169"/>
      <c r="O15" s="169">
        <v>70</v>
      </c>
      <c r="P15" s="166">
        <v>70</v>
      </c>
      <c r="Q15" s="167"/>
      <c r="R15" s="168"/>
      <c r="S15" s="164"/>
      <c r="T15" s="327"/>
      <c r="U15" s="164"/>
      <c r="V15" s="164"/>
      <c r="W15" s="164"/>
      <c r="X15" s="164"/>
      <c r="Y15" s="164"/>
      <c r="Z15" s="165"/>
      <c r="AA15" s="165"/>
      <c r="AB15" s="164"/>
      <c r="AC15" s="164"/>
      <c r="AD15" s="166">
        <v>80</v>
      </c>
    </row>
    <row r="16" spans="1:30" x14ac:dyDescent="0.25">
      <c r="A16" s="169" t="s">
        <v>339</v>
      </c>
      <c r="B16" s="169" t="s">
        <v>455</v>
      </c>
      <c r="C16" s="401"/>
      <c r="D16" s="169"/>
      <c r="E16" s="169"/>
      <c r="F16" s="169"/>
      <c r="G16" s="169"/>
      <c r="H16" s="169"/>
      <c r="I16" s="169"/>
      <c r="J16" s="169"/>
      <c r="K16" s="397">
        <v>0</v>
      </c>
      <c r="L16" s="169"/>
      <c r="M16" s="169"/>
      <c r="N16" s="169"/>
      <c r="O16" s="169"/>
      <c r="P16" s="166">
        <f t="shared" si="0"/>
        <v>0</v>
      </c>
      <c r="Q16" s="167"/>
      <c r="R16" s="168"/>
      <c r="S16" s="164"/>
      <c r="T16" s="327"/>
      <c r="U16" s="164"/>
      <c r="V16" s="164"/>
      <c r="W16" s="164"/>
      <c r="X16" s="164"/>
      <c r="Y16" s="327">
        <v>0</v>
      </c>
      <c r="Z16" s="165"/>
      <c r="AA16" s="165"/>
      <c r="AB16" s="164"/>
      <c r="AC16" s="164"/>
      <c r="AD16" s="166">
        <f t="shared" si="1"/>
        <v>0</v>
      </c>
    </row>
    <row r="17" spans="1:30" x14ac:dyDescent="0.25">
      <c r="A17" s="169" t="s">
        <v>376</v>
      </c>
      <c r="B17" s="169" t="s">
        <v>377</v>
      </c>
      <c r="C17" s="401"/>
      <c r="D17" s="169"/>
      <c r="E17" s="169"/>
      <c r="F17" s="169"/>
      <c r="G17" s="169"/>
      <c r="H17" s="169"/>
      <c r="I17" s="169"/>
      <c r="J17" s="169">
        <v>10</v>
      </c>
      <c r="K17" s="169"/>
      <c r="L17" s="169"/>
      <c r="M17" s="169"/>
      <c r="N17" s="169"/>
      <c r="O17" s="169"/>
      <c r="P17" s="166">
        <f t="shared" si="0"/>
        <v>10</v>
      </c>
      <c r="Q17" s="167"/>
      <c r="R17" s="168"/>
      <c r="S17" s="164"/>
      <c r="T17" s="327"/>
      <c r="U17" s="164"/>
      <c r="V17" s="164"/>
      <c r="W17" s="164"/>
      <c r="X17" s="164">
        <v>60</v>
      </c>
      <c r="Y17" s="164"/>
      <c r="Z17" s="165"/>
      <c r="AA17" s="165"/>
      <c r="AB17" s="164"/>
      <c r="AC17" s="164"/>
      <c r="AD17" s="166">
        <f t="shared" si="1"/>
        <v>60</v>
      </c>
    </row>
    <row r="18" spans="1:30" ht="30" x14ac:dyDescent="0.25">
      <c r="A18" s="169" t="s">
        <v>340</v>
      </c>
      <c r="B18" s="169" t="s">
        <v>331</v>
      </c>
      <c r="C18" s="401"/>
      <c r="D18" s="169"/>
      <c r="E18" s="169"/>
      <c r="F18" s="169"/>
      <c r="G18" s="169"/>
      <c r="H18" s="169"/>
      <c r="I18" s="169"/>
      <c r="J18" s="169"/>
      <c r="K18" s="169"/>
      <c r="L18" s="169"/>
      <c r="M18" s="169"/>
      <c r="N18" s="169"/>
      <c r="O18" s="169"/>
      <c r="P18" s="166">
        <f t="shared" si="0"/>
        <v>0</v>
      </c>
      <c r="Q18" s="167"/>
      <c r="R18" s="168"/>
      <c r="S18" s="164"/>
      <c r="T18" s="327"/>
      <c r="U18" s="164"/>
      <c r="V18" s="164"/>
      <c r="W18" s="164"/>
      <c r="X18" s="164"/>
      <c r="Y18" s="327">
        <v>0</v>
      </c>
      <c r="Z18" s="165"/>
      <c r="AA18" s="165"/>
      <c r="AB18" s="164"/>
      <c r="AC18" s="164"/>
      <c r="AD18" s="166">
        <f t="shared" si="1"/>
        <v>0</v>
      </c>
    </row>
    <row r="19" spans="1:30" ht="30" x14ac:dyDescent="0.25">
      <c r="A19" s="169" t="s">
        <v>382</v>
      </c>
      <c r="B19" s="169" t="s">
        <v>332</v>
      </c>
      <c r="C19" s="401"/>
      <c r="D19" s="169"/>
      <c r="E19" s="169"/>
      <c r="F19" s="169"/>
      <c r="G19" s="169"/>
      <c r="H19" s="169"/>
      <c r="I19" s="169"/>
      <c r="J19" s="169"/>
      <c r="K19" s="169"/>
      <c r="L19" s="169"/>
      <c r="M19" s="169"/>
      <c r="N19" s="169"/>
      <c r="O19" s="169"/>
      <c r="P19" s="166">
        <f t="shared" si="0"/>
        <v>0</v>
      </c>
      <c r="Q19" s="167"/>
      <c r="R19" s="168"/>
      <c r="S19" s="164"/>
      <c r="T19" s="327"/>
      <c r="U19" s="164"/>
      <c r="V19" s="164"/>
      <c r="W19" s="164"/>
      <c r="X19" s="164"/>
      <c r="Y19" s="327">
        <v>0</v>
      </c>
      <c r="Z19" s="165"/>
      <c r="AA19" s="165"/>
      <c r="AB19" s="164"/>
      <c r="AC19" s="164"/>
      <c r="AD19" s="166">
        <f t="shared" si="1"/>
        <v>0</v>
      </c>
    </row>
    <row r="20" spans="1:30" x14ac:dyDescent="0.25">
      <c r="A20" s="169" t="s">
        <v>383</v>
      </c>
      <c r="B20" s="169" t="s">
        <v>388</v>
      </c>
      <c r="C20" s="401"/>
      <c r="D20" s="169"/>
      <c r="E20" s="169"/>
      <c r="F20" s="169"/>
      <c r="G20" s="169"/>
      <c r="H20" s="169"/>
      <c r="I20" s="169"/>
      <c r="J20" s="169"/>
      <c r="K20" s="169">
        <v>0</v>
      </c>
      <c r="L20" s="169"/>
      <c r="M20" s="169"/>
      <c r="N20" s="169"/>
      <c r="O20" s="169"/>
      <c r="P20" s="166">
        <f>SUM(C20:O20)</f>
        <v>0</v>
      </c>
      <c r="Q20" s="167"/>
      <c r="R20" s="168"/>
      <c r="S20" s="164"/>
      <c r="T20" s="327"/>
      <c r="U20" s="164"/>
      <c r="V20" s="164"/>
      <c r="W20" s="164"/>
      <c r="X20" s="164"/>
      <c r="Y20" s="327">
        <v>3</v>
      </c>
      <c r="Z20" s="165"/>
      <c r="AA20" s="165"/>
      <c r="AB20" s="164"/>
      <c r="AC20" s="164"/>
      <c r="AD20" s="166">
        <f>SUM(Q20:AC20)</f>
        <v>3</v>
      </c>
    </row>
    <row r="21" spans="1:30" ht="30" x14ac:dyDescent="0.25">
      <c r="A21" s="169" t="s">
        <v>384</v>
      </c>
      <c r="B21" s="169" t="s">
        <v>387</v>
      </c>
      <c r="C21" s="401"/>
      <c r="D21" s="169"/>
      <c r="E21" s="169"/>
      <c r="F21" s="169"/>
      <c r="G21" s="169"/>
      <c r="H21" s="169"/>
      <c r="I21" s="169"/>
      <c r="J21" s="169">
        <v>12</v>
      </c>
      <c r="K21" s="169"/>
      <c r="L21" s="169">
        <f>1*265+1*2*27</f>
        <v>319</v>
      </c>
      <c r="M21" s="169"/>
      <c r="N21" s="169">
        <v>3</v>
      </c>
      <c r="O21" s="169"/>
      <c r="P21" s="166">
        <f t="shared" si="0"/>
        <v>334</v>
      </c>
      <c r="Q21" s="167"/>
      <c r="R21" s="168"/>
      <c r="S21" s="164"/>
      <c r="T21" s="327"/>
      <c r="U21" s="164"/>
      <c r="V21" s="164"/>
      <c r="W21" s="164"/>
      <c r="X21" s="164">
        <v>36</v>
      </c>
      <c r="Y21" s="164">
        <v>70</v>
      </c>
      <c r="Z21" s="165">
        <f>7*265+7*2*27</f>
        <v>2233</v>
      </c>
      <c r="AA21" s="165"/>
      <c r="AB21" s="164">
        <v>9</v>
      </c>
      <c r="AC21" s="164"/>
      <c r="AD21" s="166">
        <f t="shared" si="1"/>
        <v>2348</v>
      </c>
    </row>
    <row r="22" spans="1:30" ht="30" x14ac:dyDescent="0.25">
      <c r="A22" s="169" t="s">
        <v>385</v>
      </c>
      <c r="B22" s="169" t="s">
        <v>456</v>
      </c>
      <c r="C22" s="402">
        <v>0</v>
      </c>
      <c r="D22" s="169"/>
      <c r="E22" s="169"/>
      <c r="F22" s="169"/>
      <c r="G22" s="169"/>
      <c r="H22" s="169"/>
      <c r="I22" s="169"/>
      <c r="J22" s="169"/>
      <c r="K22" s="169">
        <v>0</v>
      </c>
      <c r="L22" s="169"/>
      <c r="M22" s="169"/>
      <c r="N22" s="169"/>
      <c r="O22" s="169"/>
      <c r="P22" s="166">
        <f t="shared" si="0"/>
        <v>0</v>
      </c>
      <c r="Q22" s="400">
        <v>0</v>
      </c>
      <c r="R22" s="168"/>
      <c r="S22" s="164"/>
      <c r="T22" s="327"/>
      <c r="U22" s="164"/>
      <c r="V22" s="164"/>
      <c r="W22" s="164"/>
      <c r="X22" s="164"/>
      <c r="Y22" s="164"/>
      <c r="Z22" s="165"/>
      <c r="AA22" s="165"/>
      <c r="AB22" s="164"/>
      <c r="AC22" s="164"/>
      <c r="AD22" s="166">
        <f t="shared" si="1"/>
        <v>0</v>
      </c>
    </row>
    <row r="23" spans="1:30" ht="36.75" customHeight="1" x14ac:dyDescent="0.25">
      <c r="A23" s="169" t="s">
        <v>341</v>
      </c>
      <c r="B23" s="169" t="s">
        <v>457</v>
      </c>
      <c r="C23" s="401">
        <v>2160000</v>
      </c>
      <c r="D23" s="169"/>
      <c r="E23" s="169"/>
      <c r="F23" s="169"/>
      <c r="G23" s="169"/>
      <c r="H23" s="169"/>
      <c r="I23" s="169"/>
      <c r="J23" s="169"/>
      <c r="K23" s="169"/>
      <c r="L23" s="169"/>
      <c r="M23" s="169"/>
      <c r="N23" s="169"/>
      <c r="O23" s="169"/>
      <c r="P23" s="166">
        <f t="shared" si="0"/>
        <v>2160000</v>
      </c>
      <c r="Q23" s="167"/>
      <c r="R23" s="168"/>
      <c r="S23" s="164"/>
      <c r="T23" s="327"/>
      <c r="U23" s="164"/>
      <c r="V23" s="164"/>
      <c r="W23" s="164"/>
      <c r="X23" s="164"/>
      <c r="Y23" s="164"/>
      <c r="Z23" s="165"/>
      <c r="AA23" s="165"/>
      <c r="AB23" s="164"/>
      <c r="AC23" s="164"/>
      <c r="AD23" s="406">
        <f t="shared" si="1"/>
        <v>0</v>
      </c>
    </row>
    <row r="24" spans="1:30" ht="45" x14ac:dyDescent="0.25">
      <c r="A24" s="169" t="s">
        <v>386</v>
      </c>
      <c r="B24" s="169" t="s">
        <v>487</v>
      </c>
      <c r="C24" s="402">
        <v>62</v>
      </c>
      <c r="D24" s="169"/>
      <c r="E24" s="169"/>
      <c r="F24" s="169"/>
      <c r="G24" s="169"/>
      <c r="H24" s="169"/>
      <c r="I24" s="169"/>
      <c r="J24" s="169"/>
      <c r="K24" s="169"/>
      <c r="L24" s="169"/>
      <c r="M24" s="169"/>
      <c r="N24" s="169"/>
      <c r="O24" s="169"/>
      <c r="P24" s="166">
        <f t="shared" si="0"/>
        <v>62</v>
      </c>
      <c r="Q24" s="402">
        <v>62</v>
      </c>
      <c r="R24" s="407"/>
      <c r="S24" s="164"/>
      <c r="T24" s="327"/>
      <c r="U24" s="164"/>
      <c r="V24" s="164"/>
      <c r="W24" s="164"/>
      <c r="X24" s="164"/>
      <c r="Y24" s="164"/>
      <c r="Z24" s="165"/>
      <c r="AA24" s="165"/>
      <c r="AB24" s="164"/>
      <c r="AC24" s="164"/>
      <c r="AD24" s="166">
        <f t="shared" si="1"/>
        <v>62</v>
      </c>
    </row>
    <row r="25" spans="1:30" x14ac:dyDescent="0.25">
      <c r="A25" s="169" t="s">
        <v>489</v>
      </c>
      <c r="B25" s="169" t="s">
        <v>490</v>
      </c>
      <c r="C25" s="401">
        <v>0</v>
      </c>
      <c r="D25" s="169"/>
      <c r="E25" s="169"/>
      <c r="F25" s="169"/>
      <c r="G25" s="169"/>
      <c r="H25" s="169"/>
      <c r="I25" s="169"/>
      <c r="J25" s="169"/>
      <c r="K25" s="169">
        <v>0</v>
      </c>
      <c r="L25" s="169"/>
      <c r="M25" s="169"/>
      <c r="N25" s="169"/>
      <c r="O25" s="169"/>
      <c r="P25" s="166">
        <f t="shared" ref="P25:P26" si="2">SUM(C25:O25)</f>
        <v>0</v>
      </c>
      <c r="Q25" s="167">
        <v>2400000</v>
      </c>
      <c r="R25" s="168"/>
      <c r="S25" s="164"/>
      <c r="T25" s="327"/>
      <c r="U25" s="164"/>
      <c r="V25" s="164"/>
      <c r="W25" s="164"/>
      <c r="X25" s="164"/>
      <c r="Y25" s="164"/>
      <c r="Z25" s="165"/>
      <c r="AA25" s="165"/>
      <c r="AB25" s="164"/>
      <c r="AC25" s="164"/>
      <c r="AD25" s="166">
        <f t="shared" ref="AD25" si="3">SUM(Q25:AC25)</f>
        <v>2400000</v>
      </c>
    </row>
    <row r="26" spans="1:30" ht="36.75" customHeight="1" x14ac:dyDescent="0.25">
      <c r="A26" s="169" t="s">
        <v>491</v>
      </c>
      <c r="B26" s="169" t="s">
        <v>492</v>
      </c>
      <c r="C26" s="401"/>
      <c r="D26" s="169"/>
      <c r="E26" s="169"/>
      <c r="F26" s="169"/>
      <c r="G26" s="169"/>
      <c r="H26" s="169"/>
      <c r="I26" s="169"/>
      <c r="J26" s="169"/>
      <c r="K26" s="169"/>
      <c r="L26" s="169"/>
      <c r="M26" s="169"/>
      <c r="N26" s="169"/>
      <c r="O26" s="169"/>
      <c r="P26" s="166">
        <f t="shared" si="2"/>
        <v>0</v>
      </c>
      <c r="Q26" s="167">
        <v>6912000</v>
      </c>
      <c r="R26" s="168"/>
      <c r="S26" s="164"/>
      <c r="T26" s="327"/>
      <c r="U26" s="164"/>
      <c r="V26" s="164"/>
      <c r="W26" s="164"/>
      <c r="X26" s="164"/>
      <c r="Y26" s="164"/>
      <c r="Z26" s="165"/>
      <c r="AA26" s="165"/>
      <c r="AB26" s="164"/>
      <c r="AC26" s="164"/>
      <c r="AD26" s="166">
        <f>SUM(Q26:AC26)</f>
        <v>6912000</v>
      </c>
    </row>
    <row r="29" spans="1:30" x14ac:dyDescent="0.25">
      <c r="B29" s="233"/>
      <c r="C29" s="234"/>
      <c r="D29" s="234"/>
      <c r="E29" s="234"/>
      <c r="F29" s="328"/>
      <c r="G29" s="234"/>
      <c r="H29" s="234"/>
      <c r="I29" s="234"/>
      <c r="J29" s="235"/>
    </row>
    <row r="30" spans="1:30" x14ac:dyDescent="0.25">
      <c r="B30" s="233"/>
      <c r="C30" s="234"/>
      <c r="D30" s="234"/>
      <c r="E30" s="234"/>
      <c r="F30" s="329"/>
      <c r="G30" s="134"/>
      <c r="J30" s="133"/>
      <c r="K30" s="133"/>
      <c r="T30" s="330"/>
      <c r="U30" s="134"/>
      <c r="X30" s="133"/>
      <c r="Y30" s="133"/>
      <c r="AA30" s="126"/>
      <c r="AB30" s="126"/>
      <c r="AC30" s="126"/>
      <c r="AD30" s="126"/>
    </row>
    <row r="31" spans="1:30" x14ac:dyDescent="0.25">
      <c r="B31" s="233"/>
      <c r="C31" s="234"/>
      <c r="D31" s="234"/>
      <c r="E31" s="235"/>
      <c r="F31" s="330"/>
      <c r="J31" s="133"/>
      <c r="K31" s="133"/>
      <c r="S31" s="134"/>
      <c r="T31" s="330"/>
      <c r="X31" s="133"/>
      <c r="Y31" s="133"/>
      <c r="Z31" s="126"/>
      <c r="AA31" s="126"/>
      <c r="AB31" s="126"/>
      <c r="AC31" s="126"/>
      <c r="AD31" s="126"/>
    </row>
    <row r="32" spans="1:30" x14ac:dyDescent="0.25">
      <c r="B32" s="233"/>
      <c r="C32" s="234"/>
      <c r="D32" s="234"/>
      <c r="E32" s="235"/>
      <c r="F32" s="330"/>
      <c r="J32" s="133"/>
      <c r="K32" s="133"/>
      <c r="S32" s="134"/>
      <c r="T32" s="330"/>
      <c r="X32" s="133"/>
      <c r="Y32" s="133"/>
      <c r="Z32" s="126"/>
      <c r="AA32" s="126"/>
      <c r="AB32" s="126"/>
      <c r="AC32" s="126"/>
      <c r="AD32" s="126"/>
    </row>
    <row r="33" spans="2:30" x14ac:dyDescent="0.25">
      <c r="B33" s="233"/>
      <c r="C33" s="234"/>
      <c r="D33" s="234"/>
      <c r="E33" s="235"/>
      <c r="F33" s="330"/>
      <c r="J33" s="133"/>
      <c r="K33" s="133"/>
      <c r="S33" s="134"/>
      <c r="T33" s="330"/>
      <c r="X33" s="133"/>
      <c r="Y33" s="133"/>
      <c r="Z33" s="126"/>
      <c r="AA33" s="126"/>
      <c r="AB33" s="126"/>
      <c r="AC33" s="126"/>
      <c r="AD33" s="126"/>
    </row>
    <row r="34" spans="2:30" x14ac:dyDescent="0.25">
      <c r="B34" s="233"/>
      <c r="C34" s="234"/>
      <c r="D34" s="234"/>
      <c r="E34" s="235"/>
      <c r="F34" s="330"/>
      <c r="J34" s="133"/>
      <c r="K34" s="133"/>
      <c r="S34" s="134"/>
      <c r="T34" s="330"/>
      <c r="X34" s="133"/>
      <c r="Y34" s="133"/>
      <c r="Z34" s="126"/>
      <c r="AA34" s="126"/>
      <c r="AB34" s="126"/>
      <c r="AC34" s="126"/>
      <c r="AD34" s="126"/>
    </row>
    <row r="35" spans="2:30" x14ac:dyDescent="0.25">
      <c r="B35" s="233"/>
      <c r="C35" s="234"/>
      <c r="D35" s="234"/>
      <c r="E35" s="235"/>
      <c r="F35" s="330"/>
      <c r="J35" s="133"/>
      <c r="K35" s="133"/>
      <c r="S35" s="134"/>
      <c r="T35" s="330"/>
      <c r="X35" s="133"/>
      <c r="Y35" s="133"/>
      <c r="Z35" s="126"/>
      <c r="AA35" s="126"/>
      <c r="AB35" s="126"/>
      <c r="AC35" s="126"/>
      <c r="AD35" s="126"/>
    </row>
    <row r="36" spans="2:30" x14ac:dyDescent="0.25">
      <c r="B36" s="233"/>
      <c r="C36" s="234"/>
      <c r="D36" s="234"/>
      <c r="E36" s="235"/>
      <c r="F36" s="330"/>
      <c r="J36" s="133"/>
      <c r="K36" s="133"/>
      <c r="S36" s="134"/>
      <c r="T36" s="330"/>
      <c r="X36" s="133"/>
      <c r="Y36" s="133"/>
      <c r="Z36" s="126"/>
      <c r="AA36" s="126"/>
      <c r="AB36" s="126"/>
      <c r="AC36" s="126"/>
      <c r="AD36" s="126"/>
    </row>
    <row r="37" spans="2:30" x14ac:dyDescent="0.25">
      <c r="B37" s="233"/>
      <c r="C37" s="234"/>
      <c r="D37" s="234"/>
      <c r="E37" s="235"/>
      <c r="F37" s="330"/>
      <c r="J37" s="133"/>
      <c r="K37" s="133"/>
      <c r="S37" s="134"/>
      <c r="T37" s="330"/>
      <c r="X37" s="133"/>
      <c r="Y37" s="133"/>
      <c r="Z37" s="126"/>
      <c r="AA37" s="126"/>
      <c r="AB37" s="126"/>
      <c r="AC37" s="126"/>
      <c r="AD37" s="126"/>
    </row>
    <row r="38" spans="2:30" x14ac:dyDescent="0.25">
      <c r="B38" s="233"/>
      <c r="C38" s="234"/>
      <c r="D38" s="234"/>
      <c r="E38" s="235"/>
      <c r="F38" s="330"/>
      <c r="J38" s="133"/>
      <c r="K38" s="133"/>
      <c r="S38" s="134"/>
      <c r="T38" s="330"/>
      <c r="X38" s="133"/>
      <c r="Y38" s="133"/>
      <c r="Z38" s="126"/>
      <c r="AA38" s="126"/>
      <c r="AB38" s="126"/>
      <c r="AC38" s="126"/>
      <c r="AD38" s="126"/>
    </row>
    <row r="39" spans="2:30" x14ac:dyDescent="0.25">
      <c r="B39" s="233"/>
      <c r="C39" s="234"/>
      <c r="D39" s="234"/>
      <c r="E39" s="235"/>
      <c r="F39" s="330"/>
      <c r="J39" s="133"/>
      <c r="K39" s="133"/>
      <c r="S39" s="134"/>
      <c r="T39" s="330"/>
      <c r="X39" s="133"/>
      <c r="Y39" s="133"/>
      <c r="Z39" s="126"/>
      <c r="AA39" s="126"/>
      <c r="AB39" s="126"/>
      <c r="AC39" s="126"/>
      <c r="AD39" s="126"/>
    </row>
    <row r="40" spans="2:30" x14ac:dyDescent="0.25">
      <c r="B40" s="233"/>
      <c r="C40" s="234"/>
      <c r="D40" s="234"/>
      <c r="E40" s="235"/>
      <c r="F40" s="330"/>
      <c r="J40" s="133"/>
      <c r="K40" s="133"/>
      <c r="S40" s="134"/>
      <c r="T40" s="330"/>
      <c r="X40" s="133"/>
      <c r="Y40" s="133"/>
      <c r="Z40" s="126"/>
      <c r="AA40" s="126"/>
      <c r="AB40" s="126"/>
      <c r="AC40" s="126"/>
      <c r="AD40" s="126"/>
    </row>
    <row r="41" spans="2:30" x14ac:dyDescent="0.25">
      <c r="B41" s="233"/>
      <c r="C41" s="234"/>
      <c r="D41" s="234"/>
      <c r="E41" s="234"/>
      <c r="F41" s="329"/>
      <c r="G41" s="134"/>
      <c r="J41" s="133"/>
      <c r="K41" s="133"/>
      <c r="T41" s="330"/>
      <c r="U41" s="134"/>
      <c r="X41" s="133"/>
      <c r="Y41" s="133"/>
      <c r="AA41" s="126"/>
      <c r="AB41" s="126"/>
      <c r="AC41" s="126"/>
      <c r="AD41" s="126"/>
    </row>
    <row r="42" spans="2:30" x14ac:dyDescent="0.25">
      <c r="F42" s="330"/>
      <c r="G42" s="134"/>
      <c r="J42" s="133"/>
      <c r="K42" s="133"/>
      <c r="T42" s="330"/>
      <c r="U42" s="134"/>
      <c r="X42" s="133"/>
      <c r="Y42" s="133"/>
      <c r="AA42" s="126"/>
      <c r="AB42" s="126"/>
      <c r="AC42" s="126"/>
      <c r="AD42" s="126"/>
    </row>
    <row r="43" spans="2:30" x14ac:dyDescent="0.25">
      <c r="F43" s="330"/>
      <c r="G43" s="134"/>
      <c r="J43" s="133"/>
      <c r="K43" s="133"/>
      <c r="T43" s="330"/>
      <c r="U43" s="134"/>
      <c r="X43" s="133"/>
      <c r="Y43" s="133"/>
      <c r="AA43" s="126"/>
      <c r="AB43" s="126"/>
      <c r="AC43" s="126"/>
      <c r="AD43" s="126"/>
    </row>
  </sheetData>
  <customSheetViews>
    <customSheetView guid="{6BEE494D-3BDB-46C2-9750-A57C1F94B9B8}">
      <selection activeCell="C4" sqref="C4"/>
      <pageMargins left="0.7" right="0.7" top="0.75" bottom="0.75" header="0.3" footer="0.3"/>
      <pageSetup orientation="portrait" r:id="rId1"/>
    </customSheetView>
    <customSheetView guid="{B426F9F8-EB1A-4D7B-9478-7E22D414CC12}">
      <selection activeCell="W4" sqref="W4"/>
      <pageMargins left="0.7" right="0.7" top="0.75" bottom="0.75" header="0.3" footer="0.3"/>
      <pageSetup orientation="portrait" r:id="rId2"/>
    </customSheetView>
    <customSheetView guid="{13EBDE9D-EC74-4522-9EED-363E735B4A78}">
      <selection activeCell="C4" sqref="C4"/>
      <pageMargins left="0.7" right="0.7" top="0.75" bottom="0.75" header="0.3" footer="0.3"/>
      <pageSetup orientation="portrait" r:id="rId3"/>
    </customSheetView>
    <customSheetView guid="{F67C426D-26F1-4B15-961D-40AFD17A9EE3}" scale="70">
      <selection activeCell="B8" sqref="B8"/>
      <pageMargins left="0.70866141732283472" right="0.70866141732283472" top="0.74803149606299213" bottom="0.74803149606299213" header="0.31496062992125984" footer="0.31496062992125984"/>
      <pageSetup scale="80" orientation="landscape" horizontalDpi="4294967294" verticalDpi="4294967294" r:id="rId4"/>
    </customSheetView>
    <customSheetView guid="{B777B674-73ED-4225-A0AA-917FDFF5A819}" scale="70">
      <selection activeCell="E13" sqref="E13"/>
      <pageMargins left="0.70866141732283472" right="0.70866141732283472" top="0.74803149606299213" bottom="0.74803149606299213" header="0.31496062992125984" footer="0.31496062992125984"/>
      <pageSetup scale="80" orientation="landscape" horizontalDpi="4294967294" verticalDpi="4294967294" r:id="rId5"/>
    </customSheetView>
    <customSheetView guid="{DE1004AE-EE6B-445B-9B87-77176E699CEC}" scale="70">
      <selection activeCell="B8" sqref="B8"/>
      <pageMargins left="0.70866141732283472" right="0.70866141732283472" top="0.74803149606299213" bottom="0.74803149606299213" header="0.31496062992125984" footer="0.31496062992125984"/>
      <pageSetup scale="80" orientation="landscape" horizontalDpi="4294967294" verticalDpi="4294967294" r:id="rId6"/>
    </customSheetView>
    <customSheetView guid="{7FBA698A-B4F9-473C-A697-22EC99EC7386}">
      <selection activeCell="A3" sqref="A3"/>
      <pageMargins left="0.7" right="0.7" top="0.75" bottom="0.75" header="0.3" footer="0.3"/>
      <pageSetup orientation="portrait" r:id="rId7"/>
    </customSheetView>
    <customSheetView guid="{53CF95D2-2F99-49E8-AB7F-7627DCDE0DC8}" scale="70">
      <selection activeCell="A6" sqref="A6"/>
      <pageMargins left="0.70866141732283472" right="0.70866141732283472" top="0.74803149606299213" bottom="0.74803149606299213" header="0.31496062992125984" footer="0.31496062992125984"/>
      <pageSetup scale="80" orientation="landscape" horizontalDpi="4294967294" verticalDpi="4294967294" r:id="rId8"/>
    </customSheetView>
    <customSheetView guid="{AD504361-49F3-4986-BDBF-FB73E2299976}">
      <selection activeCell="E14" sqref="E14"/>
      <pageMargins left="0.7" right="0.7" top="0.75" bottom="0.75" header="0.3" footer="0.3"/>
      <pageSetup orientation="portrait" r:id="rId9"/>
    </customSheetView>
    <customSheetView guid="{DD0EA6D3-BC8C-40D3-B12F-B88059C8E3DC}">
      <selection activeCell="N13" sqref="N13"/>
      <pageMargins left="0.7" right="0.7" top="0.75" bottom="0.75" header="0.3" footer="0.3"/>
      <pageSetup orientation="portrait" r:id="rId10"/>
    </customSheetView>
    <customSheetView guid="{2A6315F5-C9A2-43A7-B337-00FD30A3EB26}">
      <selection activeCell="B27" sqref="B27"/>
      <pageMargins left="0.7" right="0.7" top="0.75" bottom="0.75" header="0.3" footer="0.3"/>
      <pageSetup orientation="portrait" r:id="rId11"/>
    </customSheetView>
    <customSheetView guid="{D1BD168D-40B4-46AB-88B7-64C22520CFA0}">
      <selection activeCell="E14" sqref="E14"/>
      <pageMargins left="0.7" right="0.7" top="0.75" bottom="0.75" header="0.3" footer="0.3"/>
      <pageSetup orientation="portrait" r:id="rId12"/>
    </customSheetView>
    <customSheetView guid="{56BC42A3-D967-4F27-BD5A-CB0B8CB7F657}">
      <selection activeCell="O16" sqref="O16"/>
      <pageMargins left="0.7" right="0.7" top="0.75" bottom="0.75" header="0.3" footer="0.3"/>
      <pageSetup orientation="portrait" r:id="rId13"/>
    </customSheetView>
    <customSheetView guid="{DE419AE1-55C7-41E8-9A94-E4062EF30970}" fitToPage="1">
      <selection activeCell="A7" sqref="A7"/>
      <pageMargins left="0.70866141732283472" right="0.70866141732283472" top="0.74803149606299213" bottom="0.74803149606299213" header="0.31496062992125984" footer="0.31496062992125984"/>
      <pageSetup scale="45" fitToHeight="2" orientation="landscape" r:id="rId14"/>
    </customSheetView>
    <customSheetView guid="{6B77031E-918C-40F9-A42D-E4EA46622624}" fitToPage="1">
      <selection activeCell="B7" sqref="B7"/>
      <pageMargins left="0.70866141732283472" right="0.70866141732283472" top="0.74803149606299213" bottom="0.74803149606299213" header="0.31496062992125984" footer="0.31496062992125984"/>
      <pageSetup scale="45" fitToHeight="2" orientation="landscape" r:id="rId15"/>
    </customSheetView>
    <customSheetView guid="{77799D3C-38E2-410A-80FA-AECD8E6AB89B}" showPageBreaks="1" fitToPage="1">
      <selection activeCell="B7" sqref="B7"/>
      <pageMargins left="0.70866141732283472" right="0.70866141732283472" top="0.74803149606299213" bottom="0.74803149606299213" header="0.31496062992125984" footer="0.31496062992125984"/>
      <pageSetup scale="47" fitToHeight="2" orientation="landscape" r:id="rId16"/>
    </customSheetView>
    <customSheetView guid="{32A281B9-28FB-4D0E-8C01-BFBADAC8C3C9}" showPageBreaks="1" hiddenRows="1">
      <selection activeCell="A13" sqref="A13:XFD13"/>
      <pageMargins left="0.70866141732283472" right="0.70866141732283472" top="0.74803149606299213" bottom="0.74803149606299213" header="0.31496062992125984" footer="0.31496062992125984"/>
      <pageSetup scale="80" orientation="landscape" horizontalDpi="4294967294" verticalDpi="4294967294" r:id="rId17"/>
    </customSheetView>
  </customSheetViews>
  <mergeCells count="4">
    <mergeCell ref="A1:A2"/>
    <mergeCell ref="B1:B2"/>
    <mergeCell ref="C1:P1"/>
    <mergeCell ref="Q1:AD1"/>
  </mergeCells>
  <pageMargins left="0.7" right="0.7" top="0.75" bottom="0.75" header="0.3" footer="0.3"/>
  <pageSetup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N18" sqref="N18"/>
    </sheetView>
  </sheetViews>
  <sheetFormatPr defaultRowHeight="15" x14ac:dyDescent="0.25"/>
  <cols>
    <col min="1" max="1" width="10" bestFit="1" customWidth="1"/>
    <col min="4" max="4" width="14.7109375" bestFit="1" customWidth="1"/>
    <col min="14" max="14" width="12.28515625" customWidth="1"/>
  </cols>
  <sheetData>
    <row r="1" spans="1:14" x14ac:dyDescent="0.25">
      <c r="A1">
        <v>20882.318840579715</v>
      </c>
      <c r="D1">
        <v>107493</v>
      </c>
      <c r="I1">
        <v>2016</v>
      </c>
      <c r="J1">
        <v>33.799999999999997</v>
      </c>
    </row>
    <row r="2" spans="1:14" x14ac:dyDescent="0.25">
      <c r="A2" s="111">
        <f>(51460-A1)/51460</f>
        <v>0.5942028985507245</v>
      </c>
      <c r="D2">
        <v>31727</v>
      </c>
      <c r="G2">
        <v>270</v>
      </c>
      <c r="I2">
        <v>2017</v>
      </c>
      <c r="J2">
        <v>32.799999999999997</v>
      </c>
    </row>
    <row r="3" spans="1:14" x14ac:dyDescent="0.25">
      <c r="D3">
        <v>4222</v>
      </c>
      <c r="G3">
        <v>1135</v>
      </c>
      <c r="I3">
        <v>2018</v>
      </c>
      <c r="J3">
        <v>33.700000000000003</v>
      </c>
    </row>
    <row r="4" spans="1:14" x14ac:dyDescent="0.25">
      <c r="A4" s="112">
        <v>217867</v>
      </c>
      <c r="B4" t="s">
        <v>160</v>
      </c>
      <c r="D4" s="122">
        <v>143442</v>
      </c>
      <c r="G4">
        <f>SUM(G2:G3)</f>
        <v>1405</v>
      </c>
      <c r="I4">
        <v>2019</v>
      </c>
      <c r="J4">
        <v>32.5</v>
      </c>
    </row>
    <row r="5" spans="1:14" x14ac:dyDescent="0.25">
      <c r="A5" s="112" t="e">
        <f>A4+(#REF!+#REF!)*0.5</f>
        <v>#REF!</v>
      </c>
      <c r="J5">
        <f>J1-J2</f>
        <v>1</v>
      </c>
    </row>
    <row r="6" spans="1:14" x14ac:dyDescent="0.25">
      <c r="D6">
        <f>6527464*0.005</f>
        <v>32637.32</v>
      </c>
      <c r="J6">
        <f>J3-J4</f>
        <v>1.2000000000000028</v>
      </c>
    </row>
    <row r="7" spans="1:14" x14ac:dyDescent="0.25">
      <c r="J7">
        <f>AVERAGE(J5:J6)</f>
        <v>1.1000000000000014</v>
      </c>
    </row>
    <row r="8" spans="1:14" x14ac:dyDescent="0.25">
      <c r="A8" s="111" t="e">
        <f>#REF!/6527464</f>
        <v>#REF!</v>
      </c>
      <c r="D8">
        <v>13.8</v>
      </c>
      <c r="G8" s="124">
        <v>327211</v>
      </c>
    </row>
    <row r="9" spans="1:14" ht="15.75" thickBot="1" x14ac:dyDescent="0.3">
      <c r="D9">
        <v>12.7</v>
      </c>
      <c r="G9" s="125">
        <v>343320</v>
      </c>
    </row>
    <row r="10" spans="1:14" ht="15.75" thickBot="1" x14ac:dyDescent="0.3">
      <c r="A10" s="114">
        <v>234504</v>
      </c>
      <c r="D10">
        <v>12.7</v>
      </c>
      <c r="G10" s="117">
        <v>670531</v>
      </c>
    </row>
    <row r="11" spans="1:14" ht="15.75" thickBot="1" x14ac:dyDescent="0.3">
      <c r="A11" s="114">
        <v>9310</v>
      </c>
      <c r="D11">
        <v>13.9</v>
      </c>
    </row>
    <row r="12" spans="1:14" x14ac:dyDescent="0.25">
      <c r="A12" s="113">
        <f>A10/A11</f>
        <v>25.188399570354459</v>
      </c>
      <c r="D12">
        <f>D8-D9</f>
        <v>1.1000000000000014</v>
      </c>
    </row>
    <row r="13" spans="1:14" x14ac:dyDescent="0.25">
      <c r="A13" s="113"/>
      <c r="D13">
        <f>ABS(D10-D11)</f>
        <v>1.2000000000000011</v>
      </c>
    </row>
    <row r="14" spans="1:14" ht="15.75" thickBot="1" x14ac:dyDescent="0.3">
      <c r="A14" s="115">
        <v>572504</v>
      </c>
      <c r="B14" t="s">
        <v>161</v>
      </c>
      <c r="D14">
        <f>AVERAGE(D12:D13)</f>
        <v>1.1500000000000012</v>
      </c>
    </row>
    <row r="15" spans="1:14" ht="15.75" thickBot="1" x14ac:dyDescent="0.3">
      <c r="A15" s="114">
        <v>26813</v>
      </c>
    </row>
    <row r="16" spans="1:14" x14ac:dyDescent="0.25">
      <c r="A16" s="115">
        <v>91</v>
      </c>
      <c r="D16">
        <f>34000/(1)</f>
        <v>34000</v>
      </c>
      <c r="N16">
        <v>125279172.0055294</v>
      </c>
    </row>
    <row r="17" spans="1:14" x14ac:dyDescent="0.25">
      <c r="A17" s="116">
        <f>A14/(A15+A16)</f>
        <v>21.279512340172467</v>
      </c>
      <c r="N17">
        <v>84500000</v>
      </c>
    </row>
    <row r="18" spans="1:14" x14ac:dyDescent="0.25">
      <c r="D18">
        <v>53101</v>
      </c>
      <c r="E18">
        <f>D18+D19</f>
        <v>65417</v>
      </c>
      <c r="G18">
        <v>1421</v>
      </c>
      <c r="H18">
        <v>5000</v>
      </c>
      <c r="N18">
        <f>N16/N17</f>
        <v>1.4825937515447267</v>
      </c>
    </row>
    <row r="19" spans="1:14" x14ac:dyDescent="0.25">
      <c r="A19">
        <f>SUM(572504+26813+91)*0.1+572504*0.1</f>
        <v>117191.20000000001</v>
      </c>
      <c r="D19">
        <v>12316</v>
      </c>
      <c r="E19">
        <v>34000</v>
      </c>
      <c r="G19">
        <f>D18+D19</f>
        <v>65417</v>
      </c>
      <c r="H19">
        <v>65417</v>
      </c>
    </row>
    <row r="20" spans="1:14" x14ac:dyDescent="0.25">
      <c r="D20">
        <v>20050</v>
      </c>
      <c r="E20" s="111">
        <f>E19/E18</f>
        <v>0.51974257456012962</v>
      </c>
      <c r="G20" s="123">
        <f>G18/G19</f>
        <v>2.17221823073513E-2</v>
      </c>
      <c r="H20" s="123">
        <f>H18/H19</f>
        <v>7.6432731552960237E-2</v>
      </c>
    </row>
    <row r="21" spans="1:14" x14ac:dyDescent="0.25">
      <c r="A21">
        <v>2340</v>
      </c>
      <c r="D21" s="111">
        <f>D20/SUM(D18:D20)</f>
        <v>0.23459346882422455</v>
      </c>
    </row>
    <row r="22" spans="1:14" x14ac:dyDescent="0.25">
      <c r="A22" s="117">
        <f>467/A21*100</f>
        <v>19.957264957264957</v>
      </c>
    </row>
    <row r="24" spans="1:14" x14ac:dyDescent="0.25">
      <c r="A24">
        <v>3380569</v>
      </c>
      <c r="D24">
        <f>2242/D20</f>
        <v>0.11182044887780548</v>
      </c>
    </row>
    <row r="26" spans="1:14" x14ac:dyDescent="0.25">
      <c r="A26" s="118">
        <v>18750</v>
      </c>
      <c r="D26" s="112">
        <v>46000000</v>
      </c>
    </row>
    <row r="27" spans="1:14" x14ac:dyDescent="0.25">
      <c r="A27" s="118">
        <v>6000</v>
      </c>
      <c r="D27" s="112">
        <v>44000</v>
      </c>
    </row>
    <row r="28" spans="1:14" x14ac:dyDescent="0.25">
      <c r="A28" s="119">
        <v>335</v>
      </c>
      <c r="D28" s="112">
        <f>D26/D27</f>
        <v>1045.4545454545455</v>
      </c>
      <c r="E28">
        <f>D28*1.15</f>
        <v>1202.2727272727273</v>
      </c>
    </row>
    <row r="30" spans="1:14" x14ac:dyDescent="0.25">
      <c r="A30" s="118">
        <v>25000000</v>
      </c>
      <c r="D30" s="112">
        <v>83000000</v>
      </c>
    </row>
    <row r="31" spans="1:14" x14ac:dyDescent="0.25">
      <c r="A31" s="118">
        <v>23000000</v>
      </c>
      <c r="D31" s="112">
        <v>90000</v>
      </c>
    </row>
    <row r="32" spans="1:14" x14ac:dyDescent="0.25">
      <c r="A32" s="120">
        <v>8354271.2000000002</v>
      </c>
      <c r="D32">
        <f>D30/D31</f>
        <v>922.22222222222217</v>
      </c>
      <c r="F32">
        <v>20000</v>
      </c>
      <c r="G32">
        <v>10000</v>
      </c>
      <c r="H32" s="123">
        <f>F32*0.9/F33</f>
        <v>5.3245474356535842E-3</v>
      </c>
    </row>
    <row r="33" spans="1:9" x14ac:dyDescent="0.25">
      <c r="A33" s="121">
        <v>56354271.200000003</v>
      </c>
      <c r="F33">
        <v>3380569</v>
      </c>
      <c r="G33">
        <v>3380569</v>
      </c>
    </row>
    <row r="34" spans="1:9" x14ac:dyDescent="0.25">
      <c r="D34">
        <v>618</v>
      </c>
      <c r="F34" s="123">
        <f>F32/F33</f>
        <v>5.9161638173928707E-3</v>
      </c>
      <c r="G34" s="123">
        <f>G32/G33</f>
        <v>2.9580819086964354E-3</v>
      </c>
    </row>
    <row r="35" spans="1:9" x14ac:dyDescent="0.25">
      <c r="D35">
        <v>2500</v>
      </c>
    </row>
    <row r="36" spans="1:9" x14ac:dyDescent="0.25">
      <c r="D36" s="111">
        <f>D34/D35</f>
        <v>0.2472</v>
      </c>
    </row>
    <row r="45" spans="1:9" x14ac:dyDescent="0.25">
      <c r="C45">
        <v>68</v>
      </c>
    </row>
    <row r="46" spans="1:9" x14ac:dyDescent="0.25">
      <c r="C46">
        <v>67</v>
      </c>
      <c r="I46">
        <v>48142</v>
      </c>
    </row>
    <row r="47" spans="1:9" x14ac:dyDescent="0.25">
      <c r="C47">
        <v>65</v>
      </c>
      <c r="I47">
        <v>18271</v>
      </c>
    </row>
    <row r="48" spans="1:9" x14ac:dyDescent="0.25">
      <c r="C48">
        <v>70</v>
      </c>
      <c r="I48">
        <f>I47/I46*100</f>
        <v>37.952307756221174</v>
      </c>
    </row>
    <row r="49" spans="3:3" x14ac:dyDescent="0.25">
      <c r="C49">
        <f>AVERAGE(C45:C48)</f>
        <v>67.5</v>
      </c>
    </row>
  </sheetData>
  <customSheetViews>
    <customSheetView guid="{6BEE494D-3BDB-46C2-9750-A57C1F94B9B8}" state="hidden">
      <selection activeCell="N18" sqref="N18"/>
      <pageMargins left="0.7" right="0.7" top="0.75" bottom="0.75" header="0.3" footer="0.3"/>
      <pageSetup paperSize="9" orientation="portrait" horizontalDpi="0" verticalDpi="0" r:id="rId1"/>
    </customSheetView>
    <customSheetView guid="{B426F9F8-EB1A-4D7B-9478-7E22D414CC12}" state="hidden">
      <selection activeCell="N18" sqref="N18"/>
      <pageMargins left="0.7" right="0.7" top="0.75" bottom="0.75" header="0.3" footer="0.3"/>
      <pageSetup paperSize="9" orientation="portrait" horizontalDpi="0" verticalDpi="0" r:id="rId2"/>
    </customSheetView>
    <customSheetView guid="{13EBDE9D-EC74-4522-9EED-363E735B4A78}" state="hidden">
      <selection activeCell="N18" sqref="N18"/>
      <pageMargins left="0.7" right="0.7" top="0.75" bottom="0.75" header="0.3" footer="0.3"/>
      <pageSetup paperSize="9" orientation="portrait" horizontalDpi="0" verticalDpi="0" r:id="rId3"/>
    </customSheetView>
    <customSheetView guid="{F67C426D-26F1-4B15-961D-40AFD17A9EE3}" state="hidden">
      <selection activeCell="N18" sqref="N18"/>
      <pageMargins left="0.7" right="0.7" top="0.75" bottom="0.75" header="0.3" footer="0.3"/>
      <pageSetup paperSize="9" orientation="portrait" horizontalDpi="0" verticalDpi="0" r:id="rId4"/>
    </customSheetView>
    <customSheetView guid="{B777B674-73ED-4225-A0AA-917FDFF5A819}" state="hidden">
      <selection activeCell="N18" sqref="N18"/>
      <pageMargins left="0.7" right="0.7" top="0.75" bottom="0.75" header="0.3" footer="0.3"/>
      <pageSetup paperSize="9" orientation="portrait" horizontalDpi="0" verticalDpi="0" r:id="rId5"/>
    </customSheetView>
    <customSheetView guid="{DE1004AE-EE6B-445B-9B87-77176E699CEC}" state="hidden">
      <selection activeCell="N18" sqref="N18"/>
      <pageMargins left="0.7" right="0.7" top="0.75" bottom="0.75" header="0.3" footer="0.3"/>
      <pageSetup paperSize="9" orientation="portrait" horizontalDpi="0" verticalDpi="0" r:id="rId6"/>
    </customSheetView>
    <customSheetView guid="{7FBA698A-B4F9-473C-A697-22EC99EC7386}" state="hidden">
      <selection activeCell="N18" sqref="N18"/>
      <pageMargins left="0.7" right="0.7" top="0.75" bottom="0.75" header="0.3" footer="0.3"/>
      <pageSetup paperSize="9" orientation="portrait" horizontalDpi="0" verticalDpi="0" r:id="rId7"/>
    </customSheetView>
    <customSheetView guid="{53CF95D2-2F99-49E8-AB7F-7627DCDE0DC8}" state="hidden">
      <selection activeCell="N18" sqref="N18"/>
      <pageMargins left="0.7" right="0.7" top="0.75" bottom="0.75" header="0.3" footer="0.3"/>
      <pageSetup paperSize="9" orientation="portrait" horizontalDpi="0" verticalDpi="0" r:id="rId8"/>
    </customSheetView>
    <customSheetView guid="{AD504361-49F3-4986-BDBF-FB73E2299976}" state="hidden">
      <selection activeCell="N18" sqref="N18"/>
      <pageMargins left="0.7" right="0.7" top="0.75" bottom="0.75" header="0.3" footer="0.3"/>
      <pageSetup paperSize="9" orientation="portrait" horizontalDpi="0" verticalDpi="0" r:id="rId9"/>
    </customSheetView>
    <customSheetView guid="{DD0EA6D3-BC8C-40D3-B12F-B88059C8E3DC}" state="hidden">
      <selection activeCell="N18" sqref="N18"/>
      <pageMargins left="0.7" right="0.7" top="0.75" bottom="0.75" header="0.3" footer="0.3"/>
      <pageSetup paperSize="9" orientation="portrait" horizontalDpi="0" verticalDpi="0" r:id="rId10"/>
    </customSheetView>
    <customSheetView guid="{72B67681-E295-44ED-80A6-F4B618B242B1}" state="hidden">
      <selection activeCell="N18" sqref="N18"/>
    </customSheetView>
    <customSheetView guid="{9CD5F6CE-0E1C-42DA-A598-93523B740CBC}" state="hidden">
      <selection activeCell="N18" sqref="N18"/>
      <pageMargins left="0.7" right="0.7" top="0.75" bottom="0.75" header="0.3" footer="0.3"/>
      <pageSetup paperSize="9" orientation="portrait" horizontalDpi="0" verticalDpi="0" r:id="rId11"/>
    </customSheetView>
    <customSheetView guid="{E07B67F4-8A17-4050-B9B8-81977BCB02E2}" state="hidden">
      <selection activeCell="N18" sqref="N18"/>
      <pageMargins left="0.7" right="0.7" top="0.75" bottom="0.75" header="0.3" footer="0.3"/>
      <pageSetup paperSize="9" orientation="portrait" horizontalDpi="0" verticalDpi="0" r:id="rId12"/>
    </customSheetView>
    <customSheetView guid="{2A6315F5-C9A2-43A7-B337-00FD30A3EB26}" state="hidden">
      <selection activeCell="N18" sqref="N18"/>
      <pageMargins left="0.7" right="0.7" top="0.75" bottom="0.75" header="0.3" footer="0.3"/>
      <pageSetup paperSize="9" orientation="portrait" horizontalDpi="0" verticalDpi="0" r:id="rId13"/>
    </customSheetView>
    <customSheetView guid="{D1BD168D-40B4-46AB-88B7-64C22520CFA0}" state="hidden">
      <selection activeCell="N18" sqref="N18"/>
      <pageMargins left="0.7" right="0.7" top="0.75" bottom="0.75" header="0.3" footer="0.3"/>
      <pageSetup paperSize="9" orientation="portrait" horizontalDpi="0" verticalDpi="0" r:id="rId14"/>
    </customSheetView>
    <customSheetView guid="{56BC42A3-D967-4F27-BD5A-CB0B8CB7F657}" state="hidden">
      <selection activeCell="N18" sqref="N18"/>
      <pageMargins left="0.7" right="0.7" top="0.75" bottom="0.75" header="0.3" footer="0.3"/>
      <pageSetup paperSize="9" orientation="portrait" horizontalDpi="0" verticalDpi="0" r:id="rId15"/>
    </customSheetView>
    <customSheetView guid="{DE419AE1-55C7-41E8-9A94-E4062EF30970}" state="hidden">
      <selection activeCell="N18" sqref="N18"/>
      <pageMargins left="0.7" right="0.7" top="0.75" bottom="0.75" header="0.3" footer="0.3"/>
      <pageSetup paperSize="9" orientation="portrait" horizontalDpi="0" verticalDpi="0" r:id="rId16"/>
    </customSheetView>
    <customSheetView guid="{6B77031E-918C-40F9-A42D-E4EA46622624}" state="hidden">
      <selection activeCell="N18" sqref="N18"/>
      <pageMargins left="0.7" right="0.7" top="0.75" bottom="0.75" header="0.3" footer="0.3"/>
      <pageSetup paperSize="9" orientation="portrait" horizontalDpi="0" verticalDpi="0" r:id="rId17"/>
    </customSheetView>
    <customSheetView guid="{77799D3C-38E2-410A-80FA-AECD8E6AB89B}" state="hidden">
      <selection activeCell="N18" sqref="N18"/>
      <pageMargins left="0.7" right="0.7" top="0.75" bottom="0.75" header="0.3" footer="0.3"/>
      <pageSetup paperSize="9" orientation="portrait" horizontalDpi="0" verticalDpi="0" r:id="rId18"/>
    </customSheetView>
    <customSheetView guid="{32A281B9-28FB-4D0E-8C01-BFBADAC8C3C9}" state="hidden">
      <selection activeCell="N18" sqref="N18"/>
      <pageMargins left="0.7" right="0.7" top="0.75" bottom="0.75" header="0.3" footer="0.3"/>
      <pageSetup paperSize="9" orientation="portrait" horizontalDpi="0" verticalDpi="0" r:id="rId19"/>
    </customSheetView>
  </customSheetViews>
  <pageMargins left="0.7" right="0.7" top="0.75" bottom="0.75" header="0.3" footer="0.3"/>
  <pageSetup paperSize="9" orientation="portrait" horizontalDpi="0" verticalDpi="0" r:id="rId2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L16"/>
  <sheetViews>
    <sheetView view="pageBreakPreview" zoomScale="85" zoomScaleNormal="100" zoomScaleSheetLayoutView="85" workbookViewId="0">
      <pane ySplit="2" topLeftCell="A9" activePane="bottomLeft" state="frozen"/>
      <selection pane="bottomLeft" activeCell="C3" sqref="C3:C16"/>
    </sheetView>
  </sheetViews>
  <sheetFormatPr defaultColWidth="21.42578125" defaultRowHeight="12" x14ac:dyDescent="0.25"/>
  <cols>
    <col min="1" max="1" width="16.42578125" style="2" customWidth="1"/>
    <col min="2" max="2" width="14" style="2" customWidth="1"/>
    <col min="3" max="3" width="17.28515625" style="2" customWidth="1"/>
    <col min="4" max="4" width="14.28515625" style="2" bestFit="1" customWidth="1"/>
    <col min="5" max="5" width="44.28515625" style="2" customWidth="1"/>
    <col min="6" max="6" width="41.5703125" style="2" customWidth="1"/>
    <col min="7" max="8" width="14.7109375" style="4" customWidth="1"/>
    <col min="9" max="9" width="36.28515625" style="2" customWidth="1"/>
    <col min="10" max="10" width="10.7109375" style="36" customWidth="1"/>
    <col min="11" max="11" width="34.28515625" style="2" customWidth="1"/>
    <col min="12" max="12" width="7.5703125" style="4" customWidth="1"/>
    <col min="13" max="16384" width="21.42578125" style="2"/>
  </cols>
  <sheetData>
    <row r="1" spans="1:12" s="4" customFormat="1" x14ac:dyDescent="0.25">
      <c r="A1" s="14">
        <v>2</v>
      </c>
      <c r="B1" s="14">
        <v>3</v>
      </c>
      <c r="C1" s="14">
        <v>6</v>
      </c>
      <c r="D1" s="14">
        <v>7</v>
      </c>
      <c r="E1" s="14">
        <v>8</v>
      </c>
      <c r="F1" s="14"/>
      <c r="G1" s="14"/>
      <c r="H1" s="14"/>
      <c r="I1" s="14">
        <v>9</v>
      </c>
      <c r="J1" s="26"/>
      <c r="K1" s="14">
        <v>10</v>
      </c>
      <c r="L1" s="14"/>
    </row>
    <row r="2" spans="1:12" s="3" customFormat="1" ht="72" x14ac:dyDescent="0.25">
      <c r="A2" s="1" t="s">
        <v>162</v>
      </c>
      <c r="B2" s="1" t="s">
        <v>163</v>
      </c>
      <c r="C2" s="1" t="s">
        <v>164</v>
      </c>
      <c r="D2" s="1" t="s">
        <v>165</v>
      </c>
      <c r="E2" s="1" t="s">
        <v>166</v>
      </c>
      <c r="F2" s="1" t="s">
        <v>167</v>
      </c>
      <c r="G2" s="1" t="s">
        <v>168</v>
      </c>
      <c r="H2" s="1" t="s">
        <v>169</v>
      </c>
      <c r="I2" s="14" t="s">
        <v>170</v>
      </c>
      <c r="J2" s="27" t="s">
        <v>171</v>
      </c>
      <c r="K2" s="1" t="s">
        <v>172</v>
      </c>
      <c r="L2" s="14" t="s">
        <v>173</v>
      </c>
    </row>
    <row r="3" spans="1:12" ht="108" x14ac:dyDescent="0.25">
      <c r="A3" s="478" t="s">
        <v>174</v>
      </c>
      <c r="B3" s="478" t="s">
        <v>175</v>
      </c>
      <c r="C3" s="481" t="s">
        <v>176</v>
      </c>
      <c r="D3" s="478" t="s">
        <v>177</v>
      </c>
      <c r="E3" s="22" t="s">
        <v>178</v>
      </c>
      <c r="F3" s="19" t="s">
        <v>179</v>
      </c>
      <c r="G3" s="78">
        <f>G5-G4</f>
        <v>83218211.999999955</v>
      </c>
      <c r="H3" s="78">
        <f>20/100*G3</f>
        <v>16643642.399999991</v>
      </c>
      <c r="I3" s="8" t="s">
        <v>180</v>
      </c>
      <c r="J3" s="30">
        <f>80/100*60/100*G5</f>
        <v>45391751.999999978</v>
      </c>
      <c r="K3" s="9" t="s">
        <v>181</v>
      </c>
      <c r="L3" s="88">
        <f>(224+93)/14*1.15*15</f>
        <v>390.58928571428567</v>
      </c>
    </row>
    <row r="4" spans="1:12" ht="60" customHeight="1" x14ac:dyDescent="0.25">
      <c r="A4" s="479"/>
      <c r="B4" s="479"/>
      <c r="C4" s="482"/>
      <c r="D4" s="479"/>
      <c r="E4" s="6"/>
      <c r="F4" s="6" t="s">
        <v>182</v>
      </c>
      <c r="G4" s="78">
        <f>20/100*60/100*G5</f>
        <v>11347937.999999994</v>
      </c>
      <c r="H4" s="78"/>
      <c r="I4" s="42"/>
      <c r="J4" s="85">
        <f>60/100*G5-J3-G4</f>
        <v>0</v>
      </c>
      <c r="K4" s="9"/>
      <c r="L4" s="38"/>
    </row>
    <row r="5" spans="1:12" x14ac:dyDescent="0.25">
      <c r="A5" s="479"/>
      <c r="B5" s="479"/>
      <c r="C5" s="482"/>
      <c r="D5" s="479"/>
      <c r="E5" s="8"/>
      <c r="F5" s="41" t="s">
        <v>183</v>
      </c>
      <c r="G5" s="82">
        <f>60/100*'ОПНО_визия евро'!C5</f>
        <v>94566149.999999955</v>
      </c>
      <c r="H5" s="78"/>
      <c r="I5" s="7"/>
      <c r="J5" s="31"/>
      <c r="K5" s="9"/>
      <c r="L5" s="39"/>
    </row>
    <row r="6" spans="1:12" ht="82.5" customHeight="1" x14ac:dyDescent="0.25">
      <c r="A6" s="479"/>
      <c r="B6" s="479"/>
      <c r="C6" s="482"/>
      <c r="D6" s="479"/>
      <c r="E6" s="24" t="s">
        <v>184</v>
      </c>
      <c r="F6" s="17" t="s">
        <v>185</v>
      </c>
      <c r="G6" s="82">
        <f>30/100*'ОПНО_визия евро'!C5</f>
        <v>47283074.999999978</v>
      </c>
      <c r="H6" s="82">
        <f>'ОПНО_визия евро'!B5-П3_Наука_Инфраструктура!H3-П3_Наука_Инфраструктура!H11</f>
        <v>5421792.6000000015</v>
      </c>
      <c r="I6" s="21" t="s">
        <v>186</v>
      </c>
      <c r="J6" s="32">
        <f>(210+359)/14*1.15*15</f>
        <v>701.08928571428567</v>
      </c>
      <c r="K6" s="9" t="s">
        <v>187</v>
      </c>
      <c r="L6" s="28">
        <f>(30+224)/14*1.15*15</f>
        <v>312.96428571428567</v>
      </c>
    </row>
    <row r="7" spans="1:12" ht="36" x14ac:dyDescent="0.25">
      <c r="A7" s="479"/>
      <c r="B7" s="479"/>
      <c r="C7" s="482"/>
      <c r="D7" s="480"/>
      <c r="E7" s="24" t="s">
        <v>188</v>
      </c>
      <c r="F7" s="19"/>
      <c r="G7" s="29"/>
      <c r="H7" s="29"/>
      <c r="I7" s="23" t="s">
        <v>189</v>
      </c>
      <c r="J7" s="33">
        <v>15</v>
      </c>
      <c r="K7" s="9"/>
      <c r="L7" s="37"/>
    </row>
    <row r="8" spans="1:12" ht="60" x14ac:dyDescent="0.25">
      <c r="A8" s="479"/>
      <c r="B8" s="479"/>
      <c r="C8" s="482"/>
      <c r="D8" s="480"/>
      <c r="E8" s="19" t="s">
        <v>190</v>
      </c>
      <c r="F8" s="19"/>
      <c r="G8" s="29"/>
      <c r="H8" s="29"/>
      <c r="I8" s="21"/>
      <c r="J8" s="34"/>
      <c r="K8" s="9"/>
      <c r="L8" s="39"/>
    </row>
    <row r="9" spans="1:12" ht="60" x14ac:dyDescent="0.25">
      <c r="A9" s="479"/>
      <c r="B9" s="479"/>
      <c r="C9" s="482"/>
      <c r="D9" s="480"/>
      <c r="E9" s="19" t="s">
        <v>191</v>
      </c>
      <c r="F9" s="19"/>
      <c r="G9" s="29"/>
      <c r="H9" s="29"/>
      <c r="I9" s="21"/>
      <c r="J9" s="34"/>
      <c r="K9" s="9"/>
      <c r="L9" s="39"/>
    </row>
    <row r="10" spans="1:12" ht="60" x14ac:dyDescent="0.25">
      <c r="A10" s="479"/>
      <c r="B10" s="479"/>
      <c r="C10" s="482"/>
      <c r="D10" s="480"/>
      <c r="E10" s="20" t="s">
        <v>192</v>
      </c>
      <c r="F10" s="19"/>
      <c r="G10" s="29"/>
      <c r="H10" s="22"/>
      <c r="I10" s="21"/>
      <c r="J10" s="35"/>
      <c r="K10" s="9"/>
      <c r="L10" s="38"/>
    </row>
    <row r="11" spans="1:12" ht="48" x14ac:dyDescent="0.25">
      <c r="A11" s="479"/>
      <c r="B11" s="479"/>
      <c r="C11" s="482"/>
      <c r="D11" s="480"/>
      <c r="E11" s="24" t="s">
        <v>193</v>
      </c>
      <c r="F11" s="17" t="s">
        <v>194</v>
      </c>
      <c r="G11" s="82">
        <f>10/100*'ОПНО_визия евро'!C5</f>
        <v>15761024.999999994</v>
      </c>
      <c r="H11" s="83">
        <f>60/100*G11</f>
        <v>9456614.9999999963</v>
      </c>
      <c r="I11" s="15" t="s">
        <v>195</v>
      </c>
      <c r="J11" s="35">
        <f>15*3</f>
        <v>45</v>
      </c>
      <c r="K11" s="9" t="s">
        <v>196</v>
      </c>
      <c r="L11" s="88">
        <f>50/100*L6</f>
        <v>156.48214285714283</v>
      </c>
    </row>
    <row r="12" spans="1:12" ht="24" x14ac:dyDescent="0.25">
      <c r="A12" s="479"/>
      <c r="B12" s="479"/>
      <c r="C12" s="482"/>
      <c r="D12" s="480"/>
      <c r="E12" s="19" t="s">
        <v>197</v>
      </c>
      <c r="F12" s="19"/>
      <c r="G12" s="29"/>
      <c r="H12" s="40"/>
      <c r="I12" s="16"/>
      <c r="J12" s="33"/>
      <c r="K12" s="9"/>
      <c r="L12" s="39"/>
    </row>
    <row r="13" spans="1:12" ht="84" x14ac:dyDescent="0.25">
      <c r="A13" s="479"/>
      <c r="B13" s="479"/>
      <c r="C13" s="482"/>
      <c r="D13" s="480"/>
      <c r="E13" s="19" t="s">
        <v>198</v>
      </c>
      <c r="F13" s="19"/>
      <c r="G13" s="29"/>
      <c r="H13" s="40"/>
      <c r="I13" s="21"/>
      <c r="J13" s="34"/>
      <c r="K13" s="9"/>
      <c r="L13" s="39"/>
    </row>
    <row r="14" spans="1:12" x14ac:dyDescent="0.25">
      <c r="A14" s="479"/>
      <c r="B14" s="479"/>
      <c r="C14" s="482"/>
      <c r="D14" s="480"/>
      <c r="E14" s="19" t="s">
        <v>199</v>
      </c>
      <c r="F14" s="19"/>
      <c r="G14" s="29"/>
      <c r="H14" s="40"/>
      <c r="I14" s="21"/>
      <c r="J14" s="34"/>
      <c r="K14" s="9"/>
      <c r="L14" s="39"/>
    </row>
    <row r="15" spans="1:12" x14ac:dyDescent="0.25">
      <c r="A15" s="479"/>
      <c r="B15" s="479"/>
      <c r="C15" s="482"/>
      <c r="D15" s="480"/>
      <c r="E15" s="18" t="s">
        <v>200</v>
      </c>
      <c r="F15" s="81"/>
      <c r="G15" s="39"/>
      <c r="H15" s="84"/>
      <c r="I15" s="25"/>
      <c r="J15" s="34"/>
      <c r="K15" s="9"/>
      <c r="L15" s="38"/>
    </row>
    <row r="16" spans="1:12" ht="48" x14ac:dyDescent="0.25">
      <c r="A16" s="483"/>
      <c r="B16" s="483"/>
      <c r="C16" s="482"/>
      <c r="D16" s="479"/>
      <c r="E16" s="79" t="s">
        <v>201</v>
      </c>
      <c r="F16" s="20"/>
      <c r="G16" s="22"/>
      <c r="H16" s="80"/>
      <c r="I16" s="25" t="s">
        <v>202</v>
      </c>
      <c r="J16" s="32">
        <f>15*1</f>
        <v>15</v>
      </c>
      <c r="K16" s="9"/>
      <c r="L16" s="39"/>
    </row>
  </sheetData>
  <customSheetViews>
    <customSheetView guid="{6BEE494D-3BDB-46C2-9750-A57C1F94B9B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
    </customSheetView>
    <customSheetView guid="{B426F9F8-EB1A-4D7B-9478-7E22D414CC1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2"/>
    </customSheetView>
    <customSheetView guid="{13EBDE9D-EC74-4522-9EED-363E735B4A7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3"/>
    </customSheetView>
    <customSheetView guid="{F67C426D-26F1-4B15-961D-40AFD17A9EE3}"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4"/>
    </customSheetView>
    <customSheetView guid="{B777B674-73ED-4225-A0AA-917FDFF5A81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5"/>
    </customSheetView>
    <customSheetView guid="{DE1004AE-EE6B-445B-9B87-77176E699CE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6"/>
    </customSheetView>
    <customSheetView guid="{7FBA698A-B4F9-473C-A697-22EC99EC738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7"/>
    </customSheetView>
    <customSheetView guid="{53CF95D2-2F99-49E8-AB7F-7627DCDE0DC8}"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8"/>
    </customSheetView>
    <customSheetView guid="{AD504361-49F3-4986-BDBF-FB73E229997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9"/>
    </customSheetView>
    <customSheetView guid="{DD0EA6D3-BC8C-40D3-B12F-B88059C8E3D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0"/>
    </customSheetView>
    <customSheetView guid="{72B67681-E295-44ED-80A6-F4B618B242B1}" scale="85" showPageBreaks="1" state="hidden" view="pageBreakPreview">
      <pane ySplit="2" topLeftCell="A9" activePane="bottomLeft" state="frozen"/>
      <selection pane="bottomLeft" activeCell="C3" sqref="C3:C16"/>
    </customSheetView>
    <customSheetView guid="{9CD5F6CE-0E1C-42DA-A598-93523B740CBC}"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1"/>
    </customSheetView>
    <customSheetView guid="{E07B67F4-8A17-4050-B9B8-81977BCB02E2}"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2"/>
    </customSheetView>
    <customSheetView guid="{2A6315F5-C9A2-43A7-B337-00FD30A3EB26}"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3"/>
    </customSheetView>
    <customSheetView guid="{D1BD168D-40B4-46AB-88B7-64C22520CFA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4"/>
    </customSheetView>
    <customSheetView guid="{56BC42A3-D967-4F27-BD5A-CB0B8CB7F657}"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5"/>
    </customSheetView>
    <customSheetView guid="{DE419AE1-55C7-41E8-9A94-E4062EF30970}"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6"/>
    </customSheetView>
    <customSheetView guid="{6B77031E-918C-40F9-A42D-E4EA46622624}"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7"/>
    </customSheetView>
    <customSheetView guid="{77799D3C-38E2-410A-80FA-AECD8E6AB89B}"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8"/>
    </customSheetView>
    <customSheetView guid="{32A281B9-28FB-4D0E-8C01-BFBADAC8C3C9}" scale="85" showPageBreaks="1" fitToPage="1" printArea="1" state="hidden" view="pageBreakPreview">
      <pane ySplit="2" topLeftCell="A9" activePane="bottomLeft" state="frozen"/>
      <selection pane="bottomLeft" activeCell="C3" sqref="C3:C16"/>
      <pageMargins left="0.7" right="0.7" top="0.75" bottom="0.75" header="0.3" footer="0.3"/>
      <pageSetup paperSize="9" scale="49" orientation="landscape" r:id="rId19"/>
    </customSheetView>
  </customSheetViews>
  <mergeCells count="4">
    <mergeCell ref="D3:D16"/>
    <mergeCell ref="C3:C16"/>
    <mergeCell ref="B3:B16"/>
    <mergeCell ref="A3:A16"/>
  </mergeCells>
  <pageMargins left="0.7" right="0.7" top="0.75" bottom="0.75" header="0.3" footer="0.3"/>
  <pageSetup paperSize="9" scale="49" orientation="landscape"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21"/>
  <sheetViews>
    <sheetView view="pageBreakPreview" zoomScale="90" zoomScaleNormal="100" zoomScaleSheetLayoutView="90" workbookViewId="0">
      <pane ySplit="2" topLeftCell="A3" activePane="bottomLeft" state="frozen"/>
      <selection pane="bottomLeft" activeCell="C3" sqref="C3:C13"/>
    </sheetView>
  </sheetViews>
  <sheetFormatPr defaultColWidth="21.42578125" defaultRowHeight="15" x14ac:dyDescent="0.25"/>
  <cols>
    <col min="1" max="1" width="84.28515625" style="2" bestFit="1" customWidth="1"/>
    <col min="2" max="2" width="22" style="2" bestFit="1" customWidth="1"/>
    <col min="3" max="3" width="12.7109375" style="2" bestFit="1" customWidth="1"/>
    <col min="4" max="4" width="21.28515625" style="2" bestFit="1" customWidth="1"/>
    <col min="5" max="5" width="51.5703125" style="2" bestFit="1" customWidth="1"/>
    <col min="6" max="6" width="47.28515625" style="2" bestFit="1" customWidth="1"/>
    <col min="7" max="7" width="13.7109375" style="2" customWidth="1"/>
    <col min="8" max="8" width="12.7109375" style="2" customWidth="1"/>
    <col min="9" max="9" width="31" style="2" bestFit="1" customWidth="1"/>
    <col min="10" max="10" width="9" style="2" bestFit="1" customWidth="1"/>
    <col min="11" max="11" width="22.7109375" style="2" bestFit="1" customWidth="1"/>
    <col min="12" max="12" width="9" style="2" bestFit="1" customWidth="1"/>
    <col min="13" max="13" width="21.28515625" style="2" customWidth="1"/>
    <col min="14" max="14" width="21.42578125" style="5"/>
    <col min="15" max="16384" width="21.42578125" style="2"/>
  </cols>
  <sheetData>
    <row r="1" spans="1:14" s="4" customFormat="1" ht="12" x14ac:dyDescent="0.25">
      <c r="A1" s="1">
        <v>2</v>
      </c>
      <c r="B1" s="1">
        <v>3</v>
      </c>
      <c r="C1" s="1">
        <v>6</v>
      </c>
      <c r="D1" s="1">
        <v>7</v>
      </c>
      <c r="E1" s="1">
        <v>8</v>
      </c>
      <c r="F1" s="1">
        <v>9</v>
      </c>
      <c r="G1" s="1">
        <v>10</v>
      </c>
      <c r="H1" s="1"/>
      <c r="I1" s="1">
        <v>11</v>
      </c>
      <c r="J1" s="1">
        <v>12</v>
      </c>
      <c r="K1" s="1">
        <v>13</v>
      </c>
      <c r="L1" s="1">
        <v>14</v>
      </c>
      <c r="M1" s="1">
        <v>15</v>
      </c>
    </row>
    <row r="2" spans="1:14" s="4" customFormat="1" ht="72" x14ac:dyDescent="0.25">
      <c r="A2" s="1" t="s">
        <v>203</v>
      </c>
      <c r="B2" s="1" t="s">
        <v>204</v>
      </c>
      <c r="C2" s="1" t="s">
        <v>205</v>
      </c>
      <c r="D2" s="1" t="s">
        <v>206</v>
      </c>
      <c r="E2" s="1" t="s">
        <v>207</v>
      </c>
      <c r="F2" s="1" t="s">
        <v>208</v>
      </c>
      <c r="G2" s="1" t="s">
        <v>209</v>
      </c>
      <c r="H2" s="1" t="s">
        <v>210</v>
      </c>
      <c r="I2" s="1" t="s">
        <v>211</v>
      </c>
      <c r="J2" s="1" t="s">
        <v>212</v>
      </c>
      <c r="K2" s="14" t="s">
        <v>213</v>
      </c>
      <c r="L2" s="14" t="s">
        <v>214</v>
      </c>
      <c r="M2" s="14" t="s">
        <v>215</v>
      </c>
    </row>
    <row r="3" spans="1:14" ht="72" customHeight="1" x14ac:dyDescent="0.25">
      <c r="A3" s="484" t="s">
        <v>216</v>
      </c>
      <c r="B3" s="493" t="s">
        <v>217</v>
      </c>
      <c r="C3" s="490" t="s">
        <v>218</v>
      </c>
      <c r="D3" s="487" t="str">
        <f>П3_Наука_Инфраструктура!$D$3</f>
        <v>Специфична цел i) Засилване на капацитета за научни изследвания и иновации и на въвеждането на модерни технологии</v>
      </c>
      <c r="E3" s="24" t="s">
        <v>219</v>
      </c>
      <c r="F3" s="17" t="s">
        <v>220</v>
      </c>
      <c r="G3" s="82">
        <f>G14-G8</f>
        <v>63044099.999999985</v>
      </c>
      <c r="H3" s="82">
        <f>20/100*G14-H8</f>
        <v>1801260</v>
      </c>
      <c r="I3" s="21" t="s">
        <v>221</v>
      </c>
      <c r="J3" s="102">
        <f>G14/70*100/3500000*10</f>
        <v>367.60408163265299</v>
      </c>
      <c r="K3" s="103" t="s">
        <v>222</v>
      </c>
      <c r="L3" s="104">
        <f>H20</f>
        <v>233.42859183673463</v>
      </c>
      <c r="M3" s="481" t="s">
        <v>223</v>
      </c>
      <c r="N3" s="2"/>
    </row>
    <row r="4" spans="1:14" ht="36" x14ac:dyDescent="0.25">
      <c r="A4" s="480"/>
      <c r="B4" s="494"/>
      <c r="C4" s="491"/>
      <c r="D4" s="488"/>
      <c r="E4" s="24" t="s">
        <v>224</v>
      </c>
      <c r="F4" s="19"/>
      <c r="G4" s="29"/>
      <c r="H4" s="29"/>
      <c r="I4" s="23" t="s">
        <v>225</v>
      </c>
      <c r="J4" s="100">
        <v>15</v>
      </c>
      <c r="K4" s="81"/>
      <c r="L4" s="105"/>
      <c r="M4" s="482"/>
      <c r="N4" s="2"/>
    </row>
    <row r="5" spans="1:14" ht="24" x14ac:dyDescent="0.25">
      <c r="A5" s="480"/>
      <c r="B5" s="494"/>
      <c r="C5" s="491"/>
      <c r="D5" s="488"/>
      <c r="E5" s="19" t="s">
        <v>226</v>
      </c>
      <c r="F5" s="19"/>
      <c r="G5" s="29"/>
      <c r="H5" s="29"/>
      <c r="I5" s="21"/>
      <c r="J5" s="101"/>
      <c r="K5" s="81"/>
      <c r="L5" s="105"/>
      <c r="M5" s="482"/>
      <c r="N5" s="2"/>
    </row>
    <row r="6" spans="1:14" ht="48" x14ac:dyDescent="0.25">
      <c r="A6" s="480"/>
      <c r="B6" s="494"/>
      <c r="C6" s="491"/>
      <c r="D6" s="488"/>
      <c r="E6" s="19" t="s">
        <v>227</v>
      </c>
      <c r="F6" s="19"/>
      <c r="G6" s="29"/>
      <c r="H6" s="29"/>
      <c r="I6" s="21"/>
      <c r="J6" s="101"/>
      <c r="K6" s="81"/>
      <c r="L6" s="105"/>
      <c r="M6" s="482"/>
      <c r="N6" s="2"/>
    </row>
    <row r="7" spans="1:14" ht="48" x14ac:dyDescent="0.25">
      <c r="A7" s="480"/>
      <c r="B7" s="494"/>
      <c r="C7" s="491"/>
      <c r="D7" s="488"/>
      <c r="E7" s="20" t="s">
        <v>228</v>
      </c>
      <c r="F7" s="19"/>
      <c r="G7" s="29"/>
      <c r="H7" s="22"/>
      <c r="I7" s="21"/>
      <c r="J7" s="99"/>
      <c r="K7" s="18"/>
      <c r="L7" s="105"/>
      <c r="M7" s="482"/>
      <c r="N7" s="2"/>
    </row>
    <row r="8" spans="1:14" ht="36" x14ac:dyDescent="0.25">
      <c r="A8" s="480"/>
      <c r="B8" s="494"/>
      <c r="C8" s="491"/>
      <c r="D8" s="488"/>
      <c r="E8" s="24" t="s">
        <v>229</v>
      </c>
      <c r="F8" s="17" t="s">
        <v>230</v>
      </c>
      <c r="G8" s="82">
        <f>30/100*G14</f>
        <v>27018899.999999996</v>
      </c>
      <c r="H8" s="83">
        <f>60/100*G8</f>
        <v>16211339.999999996</v>
      </c>
      <c r="I8" s="15" t="s">
        <v>231</v>
      </c>
      <c r="J8" s="99">
        <f>37*1</f>
        <v>37</v>
      </c>
      <c r="K8" s="81" t="s">
        <v>232</v>
      </c>
      <c r="L8" s="106">
        <f>50/100*L3</f>
        <v>116.71429591836731</v>
      </c>
      <c r="M8" s="482"/>
      <c r="N8" s="2"/>
    </row>
    <row r="9" spans="1:14" ht="24" x14ac:dyDescent="0.25">
      <c r="A9" s="480"/>
      <c r="B9" s="494"/>
      <c r="C9" s="491"/>
      <c r="D9" s="488"/>
      <c r="E9" s="19" t="s">
        <v>233</v>
      </c>
      <c r="F9" s="19"/>
      <c r="G9" s="29"/>
      <c r="H9" s="40"/>
      <c r="I9" s="16"/>
      <c r="J9" s="100"/>
      <c r="K9" s="81"/>
      <c r="L9" s="105"/>
      <c r="M9" s="482"/>
    </row>
    <row r="10" spans="1:14" ht="60" x14ac:dyDescent="0.25">
      <c r="A10" s="480"/>
      <c r="B10" s="494"/>
      <c r="C10" s="491"/>
      <c r="D10" s="488"/>
      <c r="E10" s="19" t="s">
        <v>234</v>
      </c>
      <c r="F10" s="19"/>
      <c r="G10" s="29"/>
      <c r="H10" s="40"/>
      <c r="I10" s="21"/>
      <c r="J10" s="101"/>
      <c r="K10" s="81"/>
      <c r="L10" s="105"/>
      <c r="M10" s="482"/>
    </row>
    <row r="11" spans="1:14" x14ac:dyDescent="0.25">
      <c r="A11" s="480"/>
      <c r="B11" s="494"/>
      <c r="C11" s="491"/>
      <c r="D11" s="488"/>
      <c r="E11" s="19" t="s">
        <v>235</v>
      </c>
      <c r="F11" s="19"/>
      <c r="G11" s="29"/>
      <c r="H11" s="40"/>
      <c r="I11" s="21"/>
      <c r="J11" s="101"/>
      <c r="K11" s="81"/>
      <c r="L11" s="105"/>
      <c r="M11" s="482"/>
    </row>
    <row r="12" spans="1:14" x14ac:dyDescent="0.25">
      <c r="A12" s="480"/>
      <c r="B12" s="494"/>
      <c r="C12" s="491"/>
      <c r="D12" s="488"/>
      <c r="E12" s="18" t="s">
        <v>236</v>
      </c>
      <c r="F12" s="81"/>
      <c r="G12" s="39"/>
      <c r="H12" s="84"/>
      <c r="I12" s="25"/>
      <c r="J12" s="101"/>
      <c r="K12" s="81"/>
      <c r="L12" s="105"/>
      <c r="M12" s="482"/>
    </row>
    <row r="13" spans="1:14" x14ac:dyDescent="0.25">
      <c r="A13" s="485"/>
      <c r="B13" s="495"/>
      <c r="C13" s="492"/>
      <c r="D13" s="489"/>
      <c r="E13" s="79" t="s">
        <v>237</v>
      </c>
      <c r="F13" s="20"/>
      <c r="G13" s="22"/>
      <c r="H13" s="80"/>
      <c r="I13" s="25" t="s">
        <v>238</v>
      </c>
      <c r="J13" s="102">
        <f>37*1</f>
        <v>37</v>
      </c>
      <c r="K13" s="18"/>
      <c r="L13" s="107"/>
      <c r="M13" s="486"/>
    </row>
    <row r="14" spans="1:14" x14ac:dyDescent="0.25">
      <c r="F14" s="4" t="s">
        <v>239</v>
      </c>
      <c r="G14" s="89">
        <f>'ОПНО_визия евро'!C6</f>
        <v>90062999.999999985</v>
      </c>
    </row>
    <row r="17" spans="6:8" ht="15.75" thickBot="1" x14ac:dyDescent="0.3"/>
    <row r="18" spans="6:8" x14ac:dyDescent="0.25">
      <c r="F18" s="91" t="s">
        <v>240</v>
      </c>
      <c r="G18" s="92">
        <f>0.4*350000000</f>
        <v>140000000</v>
      </c>
      <c r="H18" s="92">
        <f>(30+224)</f>
        <v>254</v>
      </c>
    </row>
    <row r="19" spans="6:8" x14ac:dyDescent="0.25">
      <c r="F19" s="96" t="s">
        <v>241</v>
      </c>
      <c r="G19" s="108">
        <f>G14/70*100</f>
        <v>128661428.57142854</v>
      </c>
      <c r="H19" s="93"/>
    </row>
    <row r="20" spans="6:8" ht="15.75" thickBot="1" x14ac:dyDescent="0.3">
      <c r="F20" s="94"/>
      <c r="G20" s="95">
        <f>G19/G18</f>
        <v>0.91901020408163236</v>
      </c>
      <c r="H20" s="98">
        <f>H18*G20</f>
        <v>233.42859183673463</v>
      </c>
    </row>
    <row r="21" spans="6:8" x14ac:dyDescent="0.25">
      <c r="F21" s="2" t="s">
        <v>242</v>
      </c>
      <c r="G21" s="109">
        <f>G19/3500000</f>
        <v>36.760408163265296</v>
      </c>
    </row>
  </sheetData>
  <customSheetViews>
    <customSheetView guid="{6BEE494D-3BDB-46C2-9750-A57C1F94B9B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
    </customSheetView>
    <customSheetView guid="{B426F9F8-EB1A-4D7B-9478-7E22D414CC1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2"/>
    </customSheetView>
    <customSheetView guid="{13EBDE9D-EC74-4522-9EED-363E735B4A7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3"/>
    </customSheetView>
    <customSheetView guid="{F67C426D-26F1-4B15-961D-40AFD17A9EE3}"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4"/>
    </customSheetView>
    <customSheetView guid="{B777B674-73ED-4225-A0AA-917FDFF5A81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5"/>
    </customSheetView>
    <customSheetView guid="{DE1004AE-EE6B-445B-9B87-77176E699CE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6"/>
    </customSheetView>
    <customSheetView guid="{7FBA698A-B4F9-473C-A697-22EC99EC738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7"/>
    </customSheetView>
    <customSheetView guid="{53CF95D2-2F99-49E8-AB7F-7627DCDE0DC8}"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8"/>
    </customSheetView>
    <customSheetView guid="{AD504361-49F3-4986-BDBF-FB73E229997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9"/>
    </customSheetView>
    <customSheetView guid="{DD0EA6D3-BC8C-40D3-B12F-B88059C8E3D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0"/>
    </customSheetView>
    <customSheetView guid="{72B67681-E295-44ED-80A6-F4B618B242B1}" scale="90" showPageBreaks="1" state="hidden" view="pageBreakPreview">
      <pane ySplit="2" topLeftCell="A3" activePane="bottomLeft" state="frozen"/>
      <selection pane="bottomLeft" activeCell="C3" sqref="C3:C13"/>
    </customSheetView>
    <customSheetView guid="{9CD5F6CE-0E1C-42DA-A598-93523B740CBC}"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1"/>
    </customSheetView>
    <customSheetView guid="{E07B67F4-8A17-4050-B9B8-81977BCB02E2}"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2"/>
    </customSheetView>
    <customSheetView guid="{2A6315F5-C9A2-43A7-B337-00FD30A3EB26}"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3"/>
    </customSheetView>
    <customSheetView guid="{D1BD168D-40B4-46AB-88B7-64C22520CFA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4"/>
    </customSheetView>
    <customSheetView guid="{56BC42A3-D967-4F27-BD5A-CB0B8CB7F657}"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5"/>
    </customSheetView>
    <customSheetView guid="{DE419AE1-55C7-41E8-9A94-E4062EF30970}"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6"/>
    </customSheetView>
    <customSheetView guid="{6B77031E-918C-40F9-A42D-E4EA46622624}"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7"/>
    </customSheetView>
    <customSheetView guid="{77799D3C-38E2-410A-80FA-AECD8E6AB89B}"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8"/>
    </customSheetView>
    <customSheetView guid="{32A281B9-28FB-4D0E-8C01-BFBADAC8C3C9}" scale="90" showPageBreaks="1" printArea="1" state="hidden" view="pageBreakPreview">
      <pane ySplit="2" topLeftCell="A3" activePane="bottomLeft" state="frozen"/>
      <selection pane="bottomLeft" activeCell="C3" sqref="C3:C13"/>
      <pageMargins left="0.7" right="0.7" top="0.75" bottom="0.75" header="0.3" footer="0.3"/>
      <pageSetup paperSize="9" scale="23" orientation="portrait" r:id="rId19"/>
    </customSheetView>
  </customSheetViews>
  <mergeCells count="5">
    <mergeCell ref="A3:A13"/>
    <mergeCell ref="M3:M13"/>
    <mergeCell ref="D3:D13"/>
    <mergeCell ref="C3:C13"/>
    <mergeCell ref="B3:B13"/>
  </mergeCells>
  <pageMargins left="0.7" right="0.7" top="0.75" bottom="0.75" header="0.3" footer="0.3"/>
  <pageSetup paperSize="9" scale="23" orientation="portrait" r:id="rId2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20"/>
  <sheetViews>
    <sheetView view="pageBreakPreview" zoomScale="110" zoomScaleNormal="100" zoomScaleSheetLayoutView="110" workbookViewId="0">
      <pane ySplit="2" topLeftCell="A3" activePane="bottomLeft" state="frozen"/>
      <selection pane="bottomLeft" activeCell="C3" sqref="C3:C12"/>
    </sheetView>
  </sheetViews>
  <sheetFormatPr defaultColWidth="21.42578125" defaultRowHeight="15" x14ac:dyDescent="0.25"/>
  <cols>
    <col min="1" max="1" width="12.5703125" style="2" customWidth="1"/>
    <col min="2" max="2" width="12.28515625" style="2" customWidth="1"/>
    <col min="3" max="3" width="11" style="2" customWidth="1"/>
    <col min="4" max="4" width="14.28515625" style="2" bestFit="1" customWidth="1"/>
    <col min="5" max="5" width="41" style="2" customWidth="1"/>
    <col min="6" max="6" width="43.28515625" style="2" customWidth="1"/>
    <col min="7" max="7" width="13.28515625" style="2" customWidth="1"/>
    <col min="8" max="8" width="11.28515625" style="2" customWidth="1"/>
    <col min="9" max="9" width="30.7109375" style="2" customWidth="1"/>
    <col min="10" max="10" width="20.7109375" style="2" bestFit="1" customWidth="1"/>
    <col min="11" max="12" width="21" style="2" bestFit="1" customWidth="1"/>
    <col min="13" max="13" width="20" style="2" bestFit="1" customWidth="1"/>
    <col min="14" max="14" width="21" style="2" hidden="1" customWidth="1"/>
    <col min="15" max="15" width="21.42578125" style="2" hidden="1" customWidth="1"/>
    <col min="16" max="19" width="21.42578125" style="5"/>
    <col min="20" max="16384" width="21.42578125" style="2"/>
  </cols>
  <sheetData>
    <row r="1" spans="1:19" s="4" customFormat="1" ht="12" x14ac:dyDescent="0.25">
      <c r="A1" s="1">
        <v>2</v>
      </c>
      <c r="B1" s="1">
        <v>3</v>
      </c>
      <c r="C1" s="1">
        <v>6</v>
      </c>
      <c r="D1" s="1">
        <v>7</v>
      </c>
      <c r="E1" s="1">
        <v>8</v>
      </c>
      <c r="F1" s="1">
        <v>9</v>
      </c>
      <c r="G1" s="1">
        <v>10</v>
      </c>
      <c r="H1" s="1"/>
      <c r="I1" s="1">
        <v>11</v>
      </c>
      <c r="J1" s="1">
        <v>12</v>
      </c>
      <c r="K1" s="1">
        <v>13</v>
      </c>
      <c r="L1" s="1">
        <v>14</v>
      </c>
      <c r="M1" s="1">
        <v>15</v>
      </c>
      <c r="N1" s="1">
        <v>16</v>
      </c>
      <c r="O1" s="1">
        <v>17</v>
      </c>
    </row>
    <row r="2" spans="1:19" s="4" customFormat="1" ht="132" x14ac:dyDescent="0.25">
      <c r="A2" s="1" t="s">
        <v>243</v>
      </c>
      <c r="B2" s="1" t="s">
        <v>244</v>
      </c>
      <c r="C2" s="1" t="s">
        <v>245</v>
      </c>
      <c r="D2" s="1" t="s">
        <v>246</v>
      </c>
      <c r="E2" s="1" t="s">
        <v>247</v>
      </c>
      <c r="F2" s="1" t="s">
        <v>248</v>
      </c>
      <c r="G2" s="1" t="s">
        <v>249</v>
      </c>
      <c r="H2" s="1" t="s">
        <v>250</v>
      </c>
      <c r="I2" s="1" t="s">
        <v>251</v>
      </c>
      <c r="J2" s="1" t="s">
        <v>252</v>
      </c>
      <c r="K2" s="1" t="s">
        <v>253</v>
      </c>
      <c r="L2" s="1" t="s">
        <v>254</v>
      </c>
      <c r="M2" s="1" t="s">
        <v>255</v>
      </c>
      <c r="N2" s="1" t="s">
        <v>256</v>
      </c>
      <c r="O2" s="1" t="s">
        <v>257</v>
      </c>
    </row>
    <row r="3" spans="1:19" ht="120" x14ac:dyDescent="0.25">
      <c r="A3" s="487" t="s">
        <v>258</v>
      </c>
      <c r="B3" s="502" t="s">
        <v>259</v>
      </c>
      <c r="C3" s="498" t="s">
        <v>260</v>
      </c>
      <c r="D3" s="493" t="s">
        <v>261</v>
      </c>
      <c r="E3" s="22" t="s">
        <v>262</v>
      </c>
      <c r="F3" s="19" t="s">
        <v>263</v>
      </c>
      <c r="G3" s="78">
        <f>G5-G4</f>
        <v>27739403.999999989</v>
      </c>
      <c r="H3" s="78"/>
      <c r="I3" s="12" t="s">
        <v>264</v>
      </c>
      <c r="J3" s="30">
        <f>80/100*60/100*G5</f>
        <v>15130583.999999994</v>
      </c>
      <c r="K3" s="13" t="s">
        <v>265</v>
      </c>
      <c r="L3" s="88">
        <f>(224+93)/14*1.15*3</f>
        <v>78.117857142857133</v>
      </c>
      <c r="M3" s="500" t="s">
        <v>266</v>
      </c>
      <c r="N3" s="496"/>
      <c r="O3" s="497"/>
      <c r="P3" s="2"/>
      <c r="Q3" s="2"/>
      <c r="R3" s="2"/>
      <c r="S3" s="2"/>
    </row>
    <row r="4" spans="1:19" ht="48" x14ac:dyDescent="0.25">
      <c r="A4" s="488"/>
      <c r="B4" s="502"/>
      <c r="C4" s="499"/>
      <c r="D4" s="494"/>
      <c r="E4" s="10"/>
      <c r="F4" s="10" t="s">
        <v>267</v>
      </c>
      <c r="G4" s="78">
        <f>20/100*60/100*G5</f>
        <v>3782645.9999999986</v>
      </c>
      <c r="H4" s="78"/>
      <c r="I4" s="42"/>
      <c r="J4" s="85">
        <f>60/100*G5-J3-G4</f>
        <v>0</v>
      </c>
      <c r="K4" s="13"/>
      <c r="L4" s="38"/>
      <c r="M4" s="501"/>
      <c r="N4" s="496"/>
      <c r="O4" s="497"/>
      <c r="P4" s="2"/>
      <c r="Q4" s="2"/>
      <c r="R4" s="2"/>
      <c r="S4" s="2"/>
    </row>
    <row r="5" spans="1:19" ht="12" x14ac:dyDescent="0.25">
      <c r="A5" s="488"/>
      <c r="B5" s="502"/>
      <c r="C5" s="499"/>
      <c r="D5" s="494"/>
      <c r="E5" s="12"/>
      <c r="F5" s="41" t="s">
        <v>268</v>
      </c>
      <c r="G5" s="82">
        <f>60/100*'ОПНО_визия евро'!C4</f>
        <v>31522049.999999989</v>
      </c>
      <c r="H5" s="78"/>
      <c r="I5" s="11"/>
      <c r="J5" s="31"/>
      <c r="K5" s="13"/>
      <c r="L5" s="39"/>
      <c r="M5" s="501"/>
      <c r="N5" s="496"/>
      <c r="O5" s="497"/>
      <c r="P5" s="2"/>
      <c r="Q5" s="2"/>
      <c r="R5" s="2"/>
      <c r="S5" s="2"/>
    </row>
    <row r="6" spans="1:19" ht="72" x14ac:dyDescent="0.25">
      <c r="A6" s="488"/>
      <c r="B6" s="502"/>
      <c r="C6" s="499"/>
      <c r="D6" s="494"/>
      <c r="E6" s="24" t="s">
        <v>269</v>
      </c>
      <c r="F6" s="17" t="s">
        <v>270</v>
      </c>
      <c r="G6" s="82">
        <f>30/100*'ОПНО_визия евро'!C4</f>
        <v>15761024.999999994</v>
      </c>
      <c r="H6" s="82">
        <f>'ОПНО_визия евро'!B4-П3_Наука_Хоризонт!H11-П3_Наука_Хоризонт!H3</f>
        <v>7355144.9999999981</v>
      </c>
      <c r="I6" s="21" t="s">
        <v>271</v>
      </c>
      <c r="J6" s="32">
        <f>(210+359)/14*1.15*3+12*5</f>
        <v>200.21785714285716</v>
      </c>
      <c r="K6" s="13" t="s">
        <v>272</v>
      </c>
      <c r="L6" s="28">
        <f>(30+224)/14*1.15*3+12</f>
        <v>74.592857142857127</v>
      </c>
      <c r="M6" s="501"/>
      <c r="N6" s="496"/>
      <c r="O6" s="497"/>
      <c r="P6" s="2"/>
      <c r="Q6" s="2"/>
      <c r="R6" s="2"/>
      <c r="S6" s="2"/>
    </row>
    <row r="7" spans="1:19" ht="36" x14ac:dyDescent="0.25">
      <c r="A7" s="488"/>
      <c r="B7" s="502"/>
      <c r="C7" s="499"/>
      <c r="D7" s="494"/>
      <c r="E7" s="24" t="s">
        <v>273</v>
      </c>
      <c r="F7" s="19"/>
      <c r="G7" s="29"/>
      <c r="H7" s="29"/>
      <c r="I7" s="23" t="s">
        <v>274</v>
      </c>
      <c r="J7" s="33">
        <f>3*3+12</f>
        <v>21</v>
      </c>
      <c r="K7" s="13"/>
      <c r="L7" s="37"/>
      <c r="M7" s="501"/>
      <c r="N7" s="496"/>
      <c r="O7" s="497"/>
      <c r="P7" s="2"/>
      <c r="Q7" s="2"/>
      <c r="R7" s="2"/>
      <c r="S7" s="2"/>
    </row>
    <row r="8" spans="1:19" ht="36" x14ac:dyDescent="0.25">
      <c r="A8" s="488"/>
      <c r="B8" s="502"/>
      <c r="C8" s="499"/>
      <c r="D8" s="494"/>
      <c r="E8" s="19" t="s">
        <v>275</v>
      </c>
      <c r="F8" s="19"/>
      <c r="G8" s="29"/>
      <c r="H8" s="29"/>
      <c r="I8" s="21"/>
      <c r="J8" s="34"/>
      <c r="K8" s="13"/>
      <c r="L8" s="39"/>
      <c r="M8" s="501"/>
      <c r="N8" s="496"/>
      <c r="O8" s="497"/>
      <c r="P8" s="2"/>
      <c r="Q8" s="2"/>
      <c r="R8" s="2"/>
      <c r="S8" s="2"/>
    </row>
    <row r="9" spans="1:19" ht="60" x14ac:dyDescent="0.25">
      <c r="A9" s="488"/>
      <c r="B9" s="502"/>
      <c r="C9" s="499"/>
      <c r="D9" s="494"/>
      <c r="E9" s="19" t="s">
        <v>276</v>
      </c>
      <c r="F9" s="19"/>
      <c r="G9" s="29"/>
      <c r="H9" s="29"/>
      <c r="I9" s="21"/>
      <c r="J9" s="34"/>
      <c r="K9" s="13"/>
      <c r="L9" s="39"/>
      <c r="M9" s="501"/>
      <c r="N9" s="496"/>
      <c r="O9" s="497"/>
      <c r="P9" s="2"/>
      <c r="Q9" s="2"/>
      <c r="R9" s="2"/>
      <c r="S9" s="2"/>
    </row>
    <row r="10" spans="1:19" ht="60" x14ac:dyDescent="0.25">
      <c r="A10" s="488"/>
      <c r="B10" s="502"/>
      <c r="C10" s="499"/>
      <c r="D10" s="494"/>
      <c r="E10" s="20" t="s">
        <v>277</v>
      </c>
      <c r="F10" s="19"/>
      <c r="G10" s="29"/>
      <c r="H10" s="22"/>
      <c r="I10" s="21"/>
      <c r="J10" s="35"/>
      <c r="K10" s="13"/>
      <c r="L10" s="38"/>
      <c r="M10" s="501"/>
      <c r="N10" s="496"/>
      <c r="O10" s="497"/>
      <c r="P10" s="2"/>
      <c r="Q10" s="2"/>
      <c r="R10" s="2"/>
      <c r="S10" s="2"/>
    </row>
    <row r="11" spans="1:19" ht="48" x14ac:dyDescent="0.25">
      <c r="A11" s="488"/>
      <c r="B11" s="502"/>
      <c r="C11" s="499"/>
      <c r="D11" s="494"/>
      <c r="E11" s="24" t="s">
        <v>278</v>
      </c>
      <c r="F11" s="17" t="s">
        <v>279</v>
      </c>
      <c r="G11" s="82">
        <f>10/100*'ОПНО_визия евро'!C4</f>
        <v>5253674.9999999991</v>
      </c>
      <c r="H11" s="83">
        <f>60/100*G11</f>
        <v>3152204.9999999995</v>
      </c>
      <c r="I11" s="15" t="s">
        <v>280</v>
      </c>
      <c r="J11" s="35">
        <f>12*1</f>
        <v>12</v>
      </c>
      <c r="K11" s="13" t="s">
        <v>281</v>
      </c>
      <c r="L11" s="88">
        <f>50/100*L6</f>
        <v>37.296428571428564</v>
      </c>
      <c r="M11" s="501"/>
      <c r="N11" s="496"/>
      <c r="O11" s="497"/>
      <c r="P11" s="2"/>
      <c r="Q11" s="2"/>
      <c r="R11" s="2"/>
      <c r="S11" s="2"/>
    </row>
    <row r="12" spans="1:19" ht="24" x14ac:dyDescent="0.25">
      <c r="A12" s="488"/>
      <c r="B12" s="502"/>
      <c r="C12" s="499"/>
      <c r="D12" s="494"/>
      <c r="E12" s="19" t="s">
        <v>282</v>
      </c>
      <c r="F12" s="19"/>
      <c r="G12" s="29"/>
      <c r="H12" s="40"/>
      <c r="I12" s="16"/>
      <c r="J12" s="33"/>
      <c r="K12" s="13"/>
      <c r="L12" s="39"/>
      <c r="M12" s="501"/>
      <c r="N12" s="496"/>
    </row>
    <row r="13" spans="1:19" ht="72" x14ac:dyDescent="0.25">
      <c r="E13" s="19" t="s">
        <v>283</v>
      </c>
      <c r="F13" s="19"/>
      <c r="G13" s="29"/>
      <c r="H13" s="40"/>
      <c r="I13" s="21"/>
      <c r="J13" s="34"/>
      <c r="K13" s="13"/>
      <c r="L13" s="39"/>
    </row>
    <row r="14" spans="1:19" x14ac:dyDescent="0.25">
      <c r="E14" s="19" t="s">
        <v>284</v>
      </c>
      <c r="F14" s="19"/>
      <c r="G14" s="29"/>
      <c r="H14" s="40"/>
      <c r="I14" s="21"/>
      <c r="J14" s="34"/>
      <c r="K14" s="13"/>
      <c r="L14" s="39"/>
    </row>
    <row r="15" spans="1:19" x14ac:dyDescent="0.25">
      <c r="E15" s="18" t="s">
        <v>285</v>
      </c>
      <c r="F15" s="81"/>
      <c r="G15" s="39"/>
      <c r="H15" s="84"/>
      <c r="I15" s="25"/>
      <c r="J15" s="34"/>
      <c r="K15" s="13"/>
      <c r="L15" s="38"/>
    </row>
    <row r="16" spans="1:19" x14ac:dyDescent="0.25">
      <c r="E16" s="79"/>
      <c r="F16" s="20"/>
      <c r="G16" s="22"/>
      <c r="H16" s="80"/>
      <c r="I16" s="25"/>
      <c r="J16" s="32"/>
      <c r="K16" s="13"/>
      <c r="L16" s="39"/>
    </row>
    <row r="17" spans="6:7" x14ac:dyDescent="0.25">
      <c r="F17" s="90" t="s">
        <v>286</v>
      </c>
      <c r="G17" s="87">
        <f>G11+G6</f>
        <v>21014699.999999993</v>
      </c>
    </row>
    <row r="18" spans="6:7" ht="15.75" thickBot="1" x14ac:dyDescent="0.3"/>
    <row r="19" spans="6:7" x14ac:dyDescent="0.25">
      <c r="F19" s="110" t="s">
        <v>287</v>
      </c>
      <c r="G19" s="97">
        <v>3</v>
      </c>
    </row>
    <row r="20" spans="6:7" ht="15.75" thickBot="1" x14ac:dyDescent="0.3">
      <c r="F20" s="94" t="s">
        <v>288</v>
      </c>
      <c r="G20" s="98">
        <f>G17/70*100*1.95583/5000000</f>
        <v>11.743194485999995</v>
      </c>
    </row>
  </sheetData>
  <customSheetViews>
    <customSheetView guid="{6BEE494D-3BDB-46C2-9750-A57C1F94B9B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
    </customSheetView>
    <customSheetView guid="{B426F9F8-EB1A-4D7B-9478-7E22D414CC1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2"/>
    </customSheetView>
    <customSheetView guid="{13EBDE9D-EC74-4522-9EED-363E735B4A7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3"/>
    </customSheetView>
    <customSheetView guid="{F67C426D-26F1-4B15-961D-40AFD17A9EE3}"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4"/>
    </customSheetView>
    <customSheetView guid="{B777B674-73ED-4225-A0AA-917FDFF5A81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5"/>
    </customSheetView>
    <customSheetView guid="{DE1004AE-EE6B-445B-9B87-77176E699CE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6"/>
    </customSheetView>
    <customSheetView guid="{7FBA698A-B4F9-473C-A697-22EC99EC738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7"/>
    </customSheetView>
    <customSheetView guid="{53CF95D2-2F99-49E8-AB7F-7627DCDE0DC8}"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8"/>
    </customSheetView>
    <customSheetView guid="{AD504361-49F3-4986-BDBF-FB73E2299976}" scale="110" showPageBreaks="1" printArea="1" hiddenColumns="1" state="hidden" view="pageBreakPreview">
      <pane ySplit="1" topLeftCell="A3" activePane="bottomLeft" state="frozen"/>
      <selection pane="bottomLeft" activeCell="C3" sqref="C3:C12"/>
      <pageMargins left="0.7" right="0.7" top="0.75" bottom="0.75" header="0.3" footer="0.3"/>
      <pageSetup paperSize="9" scale="23" orientation="portrait" r:id="rId9"/>
    </customSheetView>
    <customSheetView guid="{DD0EA6D3-BC8C-40D3-B12F-B88059C8E3D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0"/>
    </customSheetView>
    <customSheetView guid="{72B67681-E295-44ED-80A6-F4B618B242B1}" scale="110" showPageBreaks="1" state="hidden" view="pageBreakPreview">
      <pane ySplit="2" topLeftCell="A3" activePane="bottomLeft" state="frozen"/>
      <selection pane="bottomLeft" activeCell="C3" sqref="C3:C12"/>
    </customSheetView>
    <customSheetView guid="{9CD5F6CE-0E1C-42DA-A598-93523B740CBC}"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1"/>
    </customSheetView>
    <customSheetView guid="{E07B67F4-8A17-4050-B9B8-81977BCB02E2}"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2"/>
    </customSheetView>
    <customSheetView guid="{2A6315F5-C9A2-43A7-B337-00FD30A3EB26}"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3"/>
    </customSheetView>
    <customSheetView guid="{D1BD168D-40B4-46AB-88B7-64C22520CFA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4"/>
    </customSheetView>
    <customSheetView guid="{56BC42A3-D967-4F27-BD5A-CB0B8CB7F657}"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5"/>
    </customSheetView>
    <customSheetView guid="{DE419AE1-55C7-41E8-9A94-E4062EF30970}"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6"/>
    </customSheetView>
    <customSheetView guid="{6B77031E-918C-40F9-A42D-E4EA46622624}"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7"/>
    </customSheetView>
    <customSheetView guid="{77799D3C-38E2-410A-80FA-AECD8E6AB89B}"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8"/>
    </customSheetView>
    <customSheetView guid="{32A281B9-28FB-4D0E-8C01-BFBADAC8C3C9}" scale="110" showPageBreaks="1" printArea="1" hiddenColumns="1" state="hidden" view="pageBreakPreview">
      <pane ySplit="2" topLeftCell="A3" activePane="bottomLeft" state="frozen"/>
      <selection pane="bottomLeft" activeCell="C3" sqref="C3:C12"/>
      <pageMargins left="0.7" right="0.7" top="0.75" bottom="0.75" header="0.3" footer="0.3"/>
      <pageSetup paperSize="9" scale="23" orientation="portrait" r:id="rId19"/>
    </customSheetView>
  </customSheetViews>
  <mergeCells count="7">
    <mergeCell ref="N3:N12"/>
    <mergeCell ref="O3:O11"/>
    <mergeCell ref="D3:D12"/>
    <mergeCell ref="C3:C12"/>
    <mergeCell ref="A3:A12"/>
    <mergeCell ref="M3:M12"/>
    <mergeCell ref="B3:B12"/>
  </mergeCells>
  <pageMargins left="0.7" right="0.7" top="0.75" bottom="0.75" header="0.3" footer="0.3"/>
  <pageSetup paperSize="9" scale="23" orientation="portrait"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Финансови бюджетни </vt:lpstr>
      <vt:lpstr>Финансов план на ПТП</vt:lpstr>
      <vt:lpstr>ОПНО_визия евро</vt:lpstr>
      <vt:lpstr>ПОКАЗАТЕЛИ ПТП </vt:lpstr>
      <vt:lpstr>Подробно разпределение </vt:lpstr>
      <vt:lpstr>работен</vt:lpstr>
      <vt:lpstr>П3_Наука_Инфраструктура</vt:lpstr>
      <vt:lpstr>П3_Наука Изследвания</vt:lpstr>
      <vt:lpstr>П3_Наука_Хоризонт</vt:lpstr>
      <vt:lpstr>'Финансов план на ПТП'!_ftnref1</vt:lpstr>
      <vt:lpstr>'ОПНО_визия евро'!Print_Area</vt:lpstr>
      <vt:lpstr>'П3_Наука Изследвания'!Print_Area</vt:lpstr>
      <vt:lpstr>П3_Наука_Инфраструктура!Print_Area</vt:lpstr>
      <vt:lpstr>П3_Наука_Хоризонт!Print_Area</vt:lpstr>
      <vt:lpstr>'ПОКАЗАТЕЛИ ПТП '!Print_Area</vt:lpstr>
      <vt:lpstr>'Финансов план на ПТП'!Print_Area</vt:lpstr>
      <vt:lpstr>'Финансови бюджетни '!Print_Area</vt:lpstr>
    </vt:vector>
  </TitlesOfParts>
  <Company>MON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Popov</dc:creator>
  <cp:lastModifiedBy>Емилия Герджикова</cp:lastModifiedBy>
  <cp:lastPrinted>2022-11-15T08:31:30Z</cp:lastPrinted>
  <dcterms:created xsi:type="dcterms:W3CDTF">2019-11-22T10:11:00Z</dcterms:created>
  <dcterms:modified xsi:type="dcterms:W3CDTF">2025-06-06T13:48:28Z</dcterms:modified>
</cp:coreProperties>
</file>