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455" windowHeight="4665"/>
  </bookViews>
  <sheets>
    <sheet name="Инвестиции ОРГО" sheetId="1" r:id="rId1"/>
    <sheet name="Прогноза -отпадъци" sheetId="2" r:id="rId2"/>
    <sheet name="Финансов анализ" sheetId="3" r:id="rId3"/>
    <sheet name="Приходи-допускания" sheetId="4" r:id="rId4"/>
    <sheet name="Разходи-допускания" sheetId="5" r:id="rId5"/>
    <sheet name="Макро-индикатори" sheetId="6" r:id="rId6"/>
    <sheet name="Дисконтов фактор" sheetId="7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123Graph_A" hidden="1">[1]AMGA!$N$8:$N$26</definedName>
    <definedName name="__123Graph_AAGO" hidden="1">[1]AMGA!$J$8:$J$26</definedName>
    <definedName name="__123Graph_AAPR" hidden="1">[1]AMGA!$F$8:$F$26</definedName>
    <definedName name="__123Graph_ADIC" hidden="1">[1]AMGA!$N$8:$N$26</definedName>
    <definedName name="__123Graph_AFEB" hidden="1">[1]AMGA!$D$8:$D$26</definedName>
    <definedName name="__123Graph_AGEN" hidden="1">[1]AMGA!$C$8:$C$26</definedName>
    <definedName name="__123Graph_AGIU" hidden="1">[1]AMGA!$H$8:$H$26</definedName>
    <definedName name="__123Graph_ALUG" hidden="1">[1]AMGA!$I$8:$I$26</definedName>
    <definedName name="__123Graph_AMAG" hidden="1">[1]AMGA!$G$8:$G$26</definedName>
    <definedName name="__123Graph_AMAR" hidden="1">[1]AMGA!$E$8:$E$26</definedName>
    <definedName name="__123Graph_ANOV" hidden="1">[1]AMGA!$M$8:$M$26</definedName>
    <definedName name="__123Graph_AOTT" hidden="1">[1]AMGA!$L$8:$L$26</definedName>
    <definedName name="__123Graph_ASET" hidden="1">[1]AMGA!$K$8:$K$26</definedName>
    <definedName name="__123Graph_ATOALE" hidden="1">[1]AMGA!$O$8:$O$26</definedName>
    <definedName name="__123Graph_X" hidden="1">[1]AMGA!$B$8:$B$26</definedName>
    <definedName name="__123Graph_XAGO" hidden="1">[1]AMGA!$B$8:$B$26</definedName>
    <definedName name="__123Graph_XAPR" hidden="1">[1]AMGA!$B$8:$B$26</definedName>
    <definedName name="__123Graph_XDIC" hidden="1">[1]AMGA!$B$8:$B$26</definedName>
    <definedName name="__123Graph_XFEB" hidden="1">[1]AMGA!$B$8:$B$26</definedName>
    <definedName name="__123Graph_XGEN" hidden="1">[1]AMGA!$B$8:$B$26</definedName>
    <definedName name="__123Graph_XGIU" hidden="1">[1]AMGA!$B$8:$B$26</definedName>
    <definedName name="__123Graph_XLUG" hidden="1">[1]AMGA!$B$8:$B$26</definedName>
    <definedName name="__123Graph_XMAG" hidden="1">[1]AMGA!$B$8:$B$26</definedName>
    <definedName name="__123Graph_XMAR" hidden="1">[1]AMGA!$B$8:$B$26</definedName>
    <definedName name="__123Graph_XNOV" hidden="1">[1]AMGA!$B$8:$B$26</definedName>
    <definedName name="__123Graph_XOTT" hidden="1">[1]AMGA!$B$8:$B$26</definedName>
    <definedName name="__123Graph_XSET" hidden="1">[1]AMGA!$B$8:$B$26</definedName>
    <definedName name="__123Graph_XTOALE" hidden="1">[1]AMGA!$B$8:$B$26</definedName>
    <definedName name="_Key1" localSheetId="3" hidden="1">#REF!</definedName>
    <definedName name="_Key1" localSheetId="4" hidden="1">#REF!</definedName>
    <definedName name="_Key1" localSheetId="2" hidden="1">#REF!</definedName>
    <definedName name="_Key1" hidden="1">#REF!</definedName>
    <definedName name="_Key2" localSheetId="3" hidden="1">#REF!</definedName>
    <definedName name="_Key2" localSheetId="4" hidden="1">#REF!</definedName>
    <definedName name="_Key2" localSheetId="2" hidden="1">#REF!</definedName>
    <definedName name="_Key2" hidden="1">#REF!</definedName>
    <definedName name="_Order1" hidden="1">0</definedName>
    <definedName name="_Order2" hidden="1">0</definedName>
    <definedName name="_Sort" localSheetId="3" hidden="1">#REF!</definedName>
    <definedName name="_Sort" localSheetId="4" hidden="1">#REF!</definedName>
    <definedName name="_Sort" localSheetId="2" hidden="1">#REF!</definedName>
    <definedName name="_Sort" hidden="1">#REF!</definedName>
    <definedName name="a" localSheetId="3">#REF!</definedName>
    <definedName name="a" localSheetId="4">#REF!</definedName>
    <definedName name="a" localSheetId="2">#REF!</definedName>
    <definedName name="a">#REF!</definedName>
    <definedName name="AccessDatabase" hidden="1">"C:\INVEST\FOGLI\Inflazione.mdb"</definedName>
    <definedName name="Agevolazione" localSheetId="3">#REF!</definedName>
    <definedName name="Agevolazione" localSheetId="4">#REF!</definedName>
    <definedName name="Agevolazione" localSheetId="2">#REF!</definedName>
    <definedName name="Agevolazione">#REF!</definedName>
    <definedName name="Agglo">'[2]Приложени коефициенти'!$K$2:$K$45</definedName>
    <definedName name="Aglo" localSheetId="3">'[2]Приложени коефициенти'!#REF!</definedName>
    <definedName name="Aglo" localSheetId="4">'[2]Приложени коефициенти'!#REF!</definedName>
    <definedName name="Aglo" localSheetId="2">'[2]Приложени коефициенти'!#REF!</definedName>
    <definedName name="Aglo">'[2]Приложени коефициенти'!#REF!</definedName>
    <definedName name="Ammortamenti" localSheetId="3">#REF!</definedName>
    <definedName name="Ammortamenti" localSheetId="4">#REF!</definedName>
    <definedName name="Ammortamenti" localSheetId="2">#REF!</definedName>
    <definedName name="Ammortamenti">#REF!</definedName>
    <definedName name="Amortization" localSheetId="3">#REF!</definedName>
    <definedName name="Amortization" localSheetId="4">#REF!</definedName>
    <definedName name="Amortization" localSheetId="2">#REF!</definedName>
    <definedName name="Amortization">#REF!</definedName>
    <definedName name="Annex_1.11__Economic_Analysis_for_ISPA_Measure___Rousse___Mean_Scenario__Price_Level_2004" localSheetId="3">#REF!</definedName>
    <definedName name="Annex_1.11__Economic_Analysis_for_ISPA_Measure___Rousse___Mean_Scenario__Price_Level_2004" localSheetId="4">#REF!</definedName>
    <definedName name="Annex_1.11__Economic_Analysis_for_ISPA_Measure___Rousse___Mean_Scenario__Price_Level_2004" localSheetId="2">#REF!</definedName>
    <definedName name="Annex_1.11__Economic_Analysis_for_ISPA_Measure___Rousse___Mean_Scenario__Price_Level_2004">#REF!</definedName>
    <definedName name="Annex_1.8_10__Parameters_for_Macro_Affordability_and_Financial_Analysis___ISPA_Measure_Rousse___Mean_Scenario" localSheetId="3">#REF!</definedName>
    <definedName name="Annex_1.8_10__Parameters_for_Macro_Affordability_and_Financial_Analysis___ISPA_Measure_Rousse___Mean_Scenario" localSheetId="4">#REF!</definedName>
    <definedName name="Annex_1.8_10__Parameters_for_Macro_Affordability_and_Financial_Analysis___ISPA_Measure_Rousse___Mean_Scenario" localSheetId="2">#REF!</definedName>
    <definedName name="Annex_1.8_10__Parameters_for_Macro_Affordability_and_Financial_Analysis___ISPA_Measure_Rousse___Mean_Scenario">#REF!</definedName>
    <definedName name="Annex_1.8_11__Macro_Affordability_and_Financial_Analysis___ISPA_Measure_Rousse___Mean_Scenario____Constant_Price_Level_2004" localSheetId="3">#REF!</definedName>
    <definedName name="Annex_1.8_11__Macro_Affordability_and_Financial_Analysis___ISPA_Measure_Rousse___Mean_Scenario____Constant_Price_Level_2004" localSheetId="4">#REF!</definedName>
    <definedName name="Annex_1.8_11__Macro_Affordability_and_Financial_Analysis___ISPA_Measure_Rousse___Mean_Scenario____Constant_Price_Level_2004" localSheetId="2">#REF!</definedName>
    <definedName name="Annex_1.8_11__Macro_Affordability_and_Financial_Analysis___ISPA_Measure_Rousse___Mean_Scenario____Constant_Price_Level_2004">#REF!</definedName>
    <definedName name="Annex_1.8_13__Debt_Service_Schedule_for_ISPA_Measure_Rousse___Mean_Scenario___Funding_Scheme_B" localSheetId="3">#REF!</definedName>
    <definedName name="Annex_1.8_13__Debt_Service_Schedule_for_ISPA_Measure_Rousse___Mean_Scenario___Funding_Scheme_B" localSheetId="4">#REF!</definedName>
    <definedName name="Annex_1.8_13__Debt_Service_Schedule_for_ISPA_Measure_Rousse___Mean_Scenario___Funding_Scheme_B" localSheetId="2">#REF!</definedName>
    <definedName name="Annex_1.8_13__Debt_Service_Schedule_for_ISPA_Measure_Rousse___Mean_Scenario___Funding_Scheme_B">#REF!</definedName>
    <definedName name="Benefit2">[3]Sensitivity!$F$78</definedName>
    <definedName name="Benefit3">[3]Sensitivity!$F$79</definedName>
    <definedName name="Benefit4">[3]Sensitivity!$F$80</definedName>
    <definedName name="Benefit5">[3]Sensitivity!$F$82</definedName>
    <definedName name="Circolante" localSheetId="3">#REF!</definedName>
    <definedName name="Circolante" localSheetId="4">#REF!</definedName>
    <definedName name="Circolante" localSheetId="2">#REF!</definedName>
    <definedName name="Circolante">#REF!</definedName>
    <definedName name="Code_WW" localSheetId="3">[2]Инвестиции_Водоснабдяване!#REF!</definedName>
    <definedName name="Code_WW" localSheetId="4">[2]Инвестиции_Водоснабдяване!#REF!</definedName>
    <definedName name="Code_WW" localSheetId="2">[2]Инвестиции_Водоснабдяване!#REF!</definedName>
    <definedName name="Code_WW">[2]Инвестиции_Водоснабдяване!#REF!</definedName>
    <definedName name="Conto_Economico" localSheetId="3">#REF!</definedName>
    <definedName name="Conto_Economico" localSheetId="4">#REF!</definedName>
    <definedName name="Conto_Economico" localSheetId="2">#REF!</definedName>
    <definedName name="Conto_Economico">#REF!</definedName>
    <definedName name="Contributo" localSheetId="3">#REF!</definedName>
    <definedName name="Contributo" localSheetId="4">#REF!</definedName>
    <definedName name="Contributo" localSheetId="2">#REF!</definedName>
    <definedName name="Contributo">#REF!</definedName>
    <definedName name="DGC">'[2]Приложени коефициенти'!$B$6</definedName>
    <definedName name="durata" localSheetId="3">#REF!</definedName>
    <definedName name="durata" localSheetId="4">#REF!</definedName>
    <definedName name="durata" localSheetId="2">#REF!</definedName>
    <definedName name="durata">#REF!</definedName>
    <definedName name="F_INV">[3]Sensitivity!$F$4</definedName>
    <definedName name="F_OeM">[3]Sensitivity!$F$5</definedName>
    <definedName name="ImpieghiFonti" localSheetId="3">#REF!</definedName>
    <definedName name="ImpieghiFonti" localSheetId="4">#REF!</definedName>
    <definedName name="ImpieghiFonti" localSheetId="2">#REF!</definedName>
    <definedName name="ImpieghiFonti">#REF!</definedName>
    <definedName name="importo" localSheetId="3">#REF!</definedName>
    <definedName name="importo" localSheetId="4">#REF!</definedName>
    <definedName name="importo" localSheetId="2">#REF!</definedName>
    <definedName name="importo">#REF!</definedName>
    <definedName name="Indici" localSheetId="3">#REF!</definedName>
    <definedName name="Indici" localSheetId="4">#REF!</definedName>
    <definedName name="Indici" localSheetId="2">#REF!</definedName>
    <definedName name="Indici">#REF!</definedName>
    <definedName name="Interest_and_Principal_Repayment_for_IFI_Loan___Water_Supply_Scheme__Million_EURO" localSheetId="3">#REF!</definedName>
    <definedName name="Interest_and_Principal_Repayment_for_IFI_Loan___Water_Supply_Scheme__Million_EURO" localSheetId="4">#REF!</definedName>
    <definedName name="Interest_and_Principal_Repayment_for_IFI_Loan___Water_Supply_Scheme__Million_EURO" localSheetId="2">#REF!</definedName>
    <definedName name="Interest_and_Principal_Repayment_for_IFI_Loan___Water_Supply_Scheme__Million_EURO">#REF!</definedName>
    <definedName name="Investimento" localSheetId="3">#REF!</definedName>
    <definedName name="Investimento" localSheetId="4">#REF!</definedName>
    <definedName name="Investimento" localSheetId="2">#REF!</definedName>
    <definedName name="Investimento">#REF!</definedName>
    <definedName name="KJUST_Plateni" localSheetId="3">#REF!</definedName>
    <definedName name="KJUST_Plateni" localSheetId="4">#REF!</definedName>
    <definedName name="KJUST_Plateni" localSheetId="2">#REF!</definedName>
    <definedName name="KJUST_Plateni">#REF!</definedName>
    <definedName name="KJUST_Usvoeni" localSheetId="3">#REF!</definedName>
    <definedName name="KJUST_Usvoeni" localSheetId="4">#REF!</definedName>
    <definedName name="KJUST_Usvoeni" localSheetId="2">#REF!</definedName>
    <definedName name="KJUST_Usvoeni">#REF!</definedName>
    <definedName name="Mutui" localSheetId="3">#REF!</definedName>
    <definedName name="Mutui" localSheetId="4">#REF!</definedName>
    <definedName name="Mutui" localSheetId="2">#REF!</definedName>
    <definedName name="Mutui">#REF!</definedName>
    <definedName name="MutuoA" localSheetId="3">#REF!</definedName>
    <definedName name="MutuoA" localSheetId="4">#REF!</definedName>
    <definedName name="MutuoA" localSheetId="2">#REF!</definedName>
    <definedName name="MutuoA">#REF!</definedName>
    <definedName name="MutuoB" localSheetId="3">#REF!</definedName>
    <definedName name="MutuoB" localSheetId="4">#REF!</definedName>
    <definedName name="MutuoB" localSheetId="2">#REF!</definedName>
    <definedName name="MutuoB">#REF!</definedName>
    <definedName name="MutuoC" localSheetId="3">#REF!</definedName>
    <definedName name="MutuoC" localSheetId="4">#REF!</definedName>
    <definedName name="MutuoC" localSheetId="2">#REF!</definedName>
    <definedName name="MutuoC">#REF!</definedName>
    <definedName name="new" localSheetId="3">#REF!</definedName>
    <definedName name="new" localSheetId="4">#REF!</definedName>
    <definedName name="new" localSheetId="2">#REF!</definedName>
    <definedName name="new">#REF!</definedName>
    <definedName name="nnnn" localSheetId="3">'[4]Invest PW&amp;WW&amp;WWTP'!#REF!</definedName>
    <definedName name="nnnn" localSheetId="4">'[4]Invest PW&amp;WW&amp;WWTP'!#REF!</definedName>
    <definedName name="nnnn" localSheetId="2">'[4]Invest PW&amp;WW&amp;WWTP'!#REF!</definedName>
    <definedName name="nnnn">'[4]Invest PW&amp;WW&amp;WWTP'!#REF!</definedName>
    <definedName name="№1" localSheetId="3">[5]Рекапитулация!#REF!</definedName>
    <definedName name="№1" localSheetId="4">[5]Рекапитулация!#REF!</definedName>
    <definedName name="№1" localSheetId="2">[5]Рекапитулация!#REF!</definedName>
    <definedName name="№1">[5]Рекапитулация!#REF!</definedName>
    <definedName name="obiett1" localSheetId="3">#REF!</definedName>
    <definedName name="obiett1" localSheetId="4">#REF!</definedName>
    <definedName name="obiett1" localSheetId="2">#REF!</definedName>
    <definedName name="obiett1">#REF!</definedName>
    <definedName name="obiett2" localSheetId="3">#REF!</definedName>
    <definedName name="obiett2" localSheetId="4">#REF!</definedName>
    <definedName name="obiett2" localSheetId="2">#REF!</definedName>
    <definedName name="obiett2">#REF!</definedName>
    <definedName name="ooo" localSheetId="3">#REF!</definedName>
    <definedName name="ooo" localSheetId="4">#REF!</definedName>
    <definedName name="ooo" localSheetId="2">#REF!</definedName>
    <definedName name="ooo">#REF!</definedName>
    <definedName name="phase">'[2]Приложени коефициенти'!$F$1:$F$3</definedName>
    <definedName name="Pippo" localSheetId="3">#REF!</definedName>
    <definedName name="Pippo" localSheetId="4">#REF!</definedName>
    <definedName name="Pippo" localSheetId="2">#REF!</definedName>
    <definedName name="Pippo">#REF!</definedName>
    <definedName name="Precedente" localSheetId="3">#REF!</definedName>
    <definedName name="Precedente" localSheetId="4">#REF!</definedName>
    <definedName name="Precedente" localSheetId="2">#REF!</definedName>
    <definedName name="Precedente">#REF!</definedName>
    <definedName name="_xlnm.Print_Area" localSheetId="3">'Приходи-допускания'!$B$4:$AD$48</definedName>
    <definedName name="_xlnm.Print_Area" localSheetId="1">'Прогноза -отпадъци'!$B$2:$AD$67</definedName>
    <definedName name="_xlnm.Print_Area" localSheetId="4">'Разходи-допускания'!$B$7:$AD$64</definedName>
    <definedName name="_xlnm.Print_Area" localSheetId="2">'Финансов анализ'!$A$4:$AD$30</definedName>
    <definedName name="Produzione" localSheetId="3">#REF!</definedName>
    <definedName name="Produzione" localSheetId="4">#REF!</definedName>
    <definedName name="Produzione" localSheetId="2">#REF!</definedName>
    <definedName name="Produzione">#REF!</definedName>
    <definedName name="rateanno" localSheetId="3">#REF!</definedName>
    <definedName name="rateanno" localSheetId="4">#REF!</definedName>
    <definedName name="rateanno" localSheetId="2">#REF!</definedName>
    <definedName name="rateanno">#REF!</definedName>
    <definedName name="Revenue">[3]Sensitivity!$F$6</definedName>
    <definedName name="SAPBEXrevision" hidden="1">1</definedName>
    <definedName name="SAPBEXsysID" hidden="1">"LP2"</definedName>
    <definedName name="SAPBEXwbID" hidden="1">"9CQV126JBLHI5EJBDZLLKKVOO"</definedName>
    <definedName name="Shoumen_Plateni" localSheetId="3">#REF!</definedName>
    <definedName name="Shoumen_Plateni" localSheetId="4">#REF!</definedName>
    <definedName name="Shoumen_Plateni" localSheetId="2">#REF!</definedName>
    <definedName name="Shoumen_Plateni">#REF!</definedName>
    <definedName name="Shoumen_Usvoeni" localSheetId="3">#REF!</definedName>
    <definedName name="Shoumen_Usvoeni" localSheetId="4">#REF!</definedName>
    <definedName name="Shoumen_Usvoeni" localSheetId="2">#REF!</definedName>
    <definedName name="Shoumen_Usvoeni">#REF!</definedName>
    <definedName name="SLIVEN_Plateni" localSheetId="3">#REF!</definedName>
    <definedName name="SLIVEN_Plateni" localSheetId="4">#REF!</definedName>
    <definedName name="SLIVEN_Plateni" localSheetId="2">#REF!</definedName>
    <definedName name="SLIVEN_Plateni">#REF!</definedName>
    <definedName name="SLIVEN_Usvoeni" localSheetId="3">#REF!</definedName>
    <definedName name="SLIVEN_Usvoeni" localSheetId="4">#REF!</definedName>
    <definedName name="SLIVEN_Usvoeni" localSheetId="2">#REF!</definedName>
    <definedName name="SLIVEN_Usvoeni">#REF!</definedName>
    <definedName name="Smolian_Plateni" localSheetId="3">#REF!</definedName>
    <definedName name="Smolian_Plateni" localSheetId="4">#REF!</definedName>
    <definedName name="Smolian_Plateni" localSheetId="2">#REF!</definedName>
    <definedName name="Smolian_Plateni">#REF!</definedName>
    <definedName name="Smolian_Usvoeni" localSheetId="3">#REF!</definedName>
    <definedName name="Smolian_Usvoeni" localSheetId="4">#REF!</definedName>
    <definedName name="Smolian_Usvoeni" localSheetId="2">#REF!</definedName>
    <definedName name="Smolian_Usvoeni">#REF!</definedName>
    <definedName name="Table_8_1__Economic_Analysis_for_ISPA_Measure___Sliven___Mean_Scenario__Price_Level_2004" localSheetId="3">#REF!</definedName>
    <definedName name="Table_8_1__Economic_Analysis_for_ISPA_Measure___Sliven___Mean_Scenario__Price_Level_2004" localSheetId="4">#REF!</definedName>
    <definedName name="Table_8_1__Economic_Analysis_for_ISPA_Measure___Sliven___Mean_Scenario__Price_Level_2004" localSheetId="2">#REF!</definedName>
    <definedName name="Table_8_1__Economic_Analysis_for_ISPA_Measure___Sliven___Mean_Scenario__Price_Level_2004">#REF!</definedName>
    <definedName name="Table_x___Summary_of_Investment_Cost_for_ISPA_Measure___Water_Supply_System___Sliven_Town___Million_EURO" localSheetId="3">#REF!</definedName>
    <definedName name="Table_x___Summary_of_Investment_Cost_for_ISPA_Measure___Water_Supply_System___Sliven_Town___Million_EURO" localSheetId="4">#REF!</definedName>
    <definedName name="Table_x___Summary_of_Investment_Cost_for_ISPA_Measure___Water_Supply_System___Sliven_Town___Million_EURO" localSheetId="2">#REF!</definedName>
    <definedName name="Table_x___Summary_of_Investment_Cost_for_ISPA_Measure___Water_Supply_System___Sliven_Town___Million_EURO">#REF!</definedName>
    <definedName name="Table_x__Basic_Parameter_for_Macro_Affordability_and_Financial_Analysis___Service_Area__Sliven_Town___Page_2" localSheetId="3">#REF!</definedName>
    <definedName name="Table_x__Basic_Parameter_for_Macro_Affordability_and_Financial_Analysis___Service_Area__Sliven_Town___Page_2" localSheetId="4">#REF!</definedName>
    <definedName name="Table_x__Basic_Parameter_for_Macro_Affordability_and_Financial_Analysis___Service_Area__Sliven_Town___Page_2" localSheetId="2">#REF!</definedName>
    <definedName name="Table_x__Basic_Parameter_for_Macro_Affordability_and_Financial_Analysis___Service_Area__Sliven_Town___Page_2">#REF!</definedName>
    <definedName name="Table_x__Cash_Flow_Projection_for_Sliven_Town___With_ISPA_Measure__Constant_Price_Level_2004____Funding_Scheme_A" localSheetId="3">#REF!</definedName>
    <definedName name="Table_x__Cash_Flow_Projection_for_Sliven_Town___With_ISPA_Measure__Constant_Price_Level_2004____Funding_Scheme_A" localSheetId="4">#REF!</definedName>
    <definedName name="Table_x__Cash_Flow_Projection_for_Sliven_Town___With_ISPA_Measure__Constant_Price_Level_2004____Funding_Scheme_A" localSheetId="2">#REF!</definedName>
    <definedName name="Table_x__Cash_Flow_Projection_for_Sliven_Town___With_ISPA_Measure__Constant_Price_Level_2004____Funding_Scheme_A">#REF!</definedName>
    <definedName name="Table_x__Cash_Flow_Projection_for_Sliven_Town___With_ISPA_Measure__Constant_Prices" localSheetId="3">#REF!</definedName>
    <definedName name="Table_x__Cash_Flow_Projection_for_Sliven_Town___With_ISPA_Measure__Constant_Prices" localSheetId="4">#REF!</definedName>
    <definedName name="Table_x__Cash_Flow_Projection_for_Sliven_Town___With_ISPA_Measure__Constant_Prices" localSheetId="2">#REF!</definedName>
    <definedName name="Table_x__Cash_Flow_Projection_for_Sliven_Town___With_ISPA_Measure__Constant_Prices">#REF!</definedName>
    <definedName name="Table_x__Cash_Flow_Projection_with_ISPA_Measure___Sliven_Town___Mean_Scenario___Funding_Scheme_B____Price_Level_2004" localSheetId="3">#REF!</definedName>
    <definedName name="Table_x__Cash_Flow_Projection_with_ISPA_Measure___Sliven_Town___Mean_Scenario___Funding_Scheme_B____Price_Level_2004" localSheetId="4">#REF!</definedName>
    <definedName name="Table_x__Cash_Flow_Projection_with_ISPA_Measure___Sliven_Town___Mean_Scenario___Funding_Scheme_B____Price_Level_2004" localSheetId="2">#REF!</definedName>
    <definedName name="Table_x__Cash_Flow_Projection_with_ISPA_Measure___Sliven_Town___Mean_Scenario___Funding_Scheme_B____Price_Level_2004">#REF!</definedName>
    <definedName name="Table_x__Cash_Flow_Projection_with_ISPA_Measure___Sliven_Town___Mean_Scenario___Funding_Scheme_C____Price_Level_2004" localSheetId="3">#REF!</definedName>
    <definedName name="Table_x__Cash_Flow_Projection_with_ISPA_Measure___Sliven_Town___Mean_Scenario___Funding_Scheme_C____Price_Level_2004" localSheetId="4">#REF!</definedName>
    <definedName name="Table_x__Cash_Flow_Projection_with_ISPA_Measure___Sliven_Town___Mean_Scenario___Funding_Scheme_C____Price_Level_2004" localSheetId="2">#REF!</definedName>
    <definedName name="Table_x__Cash_Flow_Projection_with_ISPA_Measure___Sliven_Town___Mean_Scenario___Funding_Scheme_C____Price_Level_2004">#REF!</definedName>
    <definedName name="Table_x__Debt_Service_Schedule_for_Water_Supply_Scheme___Sliven_Town___Funding_Scheme_B" localSheetId="3">#REF!</definedName>
    <definedName name="Table_x__Debt_Service_Schedule_for_Water_Supply_Scheme___Sliven_Town___Funding_Scheme_B" localSheetId="4">#REF!</definedName>
    <definedName name="Table_x__Debt_Service_Schedule_for_Water_Supply_Scheme___Sliven_Town___Funding_Scheme_B" localSheetId="2">#REF!</definedName>
    <definedName name="Table_x__Debt_Service_Schedule_for_Water_Supply_Scheme___Sliven_Town___Funding_Scheme_B">#REF!</definedName>
    <definedName name="Table_x__Debt_Service_Schedule_for_Water_Supply_Scheme___Sliven_Town___Funding_Scheme_C" localSheetId="3">#REF!</definedName>
    <definedName name="Table_x__Debt_Service_Schedule_for_Water_Supply_Scheme___Sliven_Town___Funding_Scheme_C" localSheetId="4">#REF!</definedName>
    <definedName name="Table_x__Debt_Service_Schedule_for_Water_Supply_Scheme___Sliven_Town___Funding_Scheme_C" localSheetId="2">#REF!</definedName>
    <definedName name="Table_x__Debt_Service_Schedule_for_Water_Supply_Scheme___Sliven_Town___Funding_Scheme_C">#REF!</definedName>
    <definedName name="Table_x__Funding_Schedule_for_Initial_Investment___Sliven_Town__Escalated_Investment_Cost____Funding_Schedule_A" localSheetId="3">#REF!</definedName>
    <definedName name="Table_x__Funding_Schedule_for_Initial_Investment___Sliven_Town__Escalated_Investment_Cost____Funding_Schedule_A" localSheetId="4">#REF!</definedName>
    <definedName name="Table_x__Funding_Schedule_for_Initial_Investment___Sliven_Town__Escalated_Investment_Cost____Funding_Schedule_A" localSheetId="2">#REF!</definedName>
    <definedName name="Table_x__Funding_Schedule_for_Initial_Investment___Sliven_Town__Escalated_Investment_Cost____Funding_Schedule_A">#REF!</definedName>
    <definedName name="Table_x__Investment_Cost_for_ISPA_Measure___Wastewater_System___Sliven_Town___Million_EURO____Escalated_Prices" localSheetId="3">'[6]Invest PW&amp;WW&amp;WWTP'!#REF!</definedName>
    <definedName name="Table_x__Investment_Cost_for_ISPA_Measure___Wastewater_System___Sliven_Town___Million_EURO____Escalated_Prices" localSheetId="4">'[6]Invest PW&amp;WW&amp;WWTP'!#REF!</definedName>
    <definedName name="Table_x__Investment_Cost_for_ISPA_Measure___Wastewater_System___Sliven_Town___Million_EURO____Escalated_Prices" localSheetId="2">'[6]Invest PW&amp;WW&amp;WWTP'!#REF!</definedName>
    <definedName name="Table_x__Investment_Cost_for_ISPA_Measure___Wastewater_System___Sliven_Town___Million_EURO____Escalated_Prices">'[6]Invest PW&amp;WW&amp;WWTP'!#REF!</definedName>
    <definedName name="Table_x__Investment_Cost_for_ISPA_Measure___Water_Supply_System___Sliven_Town___Million_EURO____Escalated_Prices" localSheetId="3">#REF!</definedName>
    <definedName name="Table_x__Investment_Cost_for_ISPA_Measure___Water_Supply_System___Sliven_Town___Million_EURO____Escalated_Prices" localSheetId="4">#REF!</definedName>
    <definedName name="Table_x__Investment_Cost_for_ISPA_Measure___Water_Supply_System___Sliven_Town___Million_EURO____Escalated_Prices" localSheetId="2">#REF!</definedName>
    <definedName name="Table_x__Investment_Cost_for_ISPA_Measure___Water_Supply_System___Sliven_Town___Million_EURO____Escalated_Prices">#REF!</definedName>
    <definedName name="Table_x__Investment_Cost_for_ISPA_Measure___Water_Supply_System___Sliven_Town___Million_EURO____Price_Level_2004" localSheetId="3">#REF!</definedName>
    <definedName name="Table_x__Investment_Cost_for_ISPA_Measure___Water_Supply_System___Sliven_Town___Million_EURO____Price_Level_2004" localSheetId="4">#REF!</definedName>
    <definedName name="Table_x__Investment_Cost_for_ISPA_Measure___Water_Supply_System___Sliven_Town___Million_EURO____Price_Level_2004" localSheetId="2">#REF!</definedName>
    <definedName name="Table_x__Investment_Cost_for_ISPA_Measure___Water_Supply_System___Sliven_Town___Million_EURO____Price_Level_2004">#REF!</definedName>
    <definedName name="Table_x__Macro_Affordability_and_Financial_Analysis___Sliven_Town___Page_1__Basic_Development_and_Demand_Parameters" localSheetId="3">#REF!</definedName>
    <definedName name="Table_x__Macro_Affordability_and_Financial_Analysis___Sliven_Town___Page_1__Basic_Development_and_Demand_Parameters" localSheetId="4">#REF!</definedName>
    <definedName name="Table_x__Macro_Affordability_and_Financial_Analysis___Sliven_Town___Page_1__Basic_Development_and_Demand_Parameters" localSheetId="2">#REF!</definedName>
    <definedName name="Table_x__Macro_Affordability_and_Financial_Analysis___Sliven_Town___Page_1__Basic_Development_and_Demand_Parameters">#REF!</definedName>
    <definedName name="Table_x__Operation_and_Maintenance_Cost___Wastewater_Collection_System___Sliven_Town___Million_EURO____Price_Level_2004" localSheetId="3">#REF!</definedName>
    <definedName name="Table_x__Operation_and_Maintenance_Cost___Wastewater_Collection_System___Sliven_Town___Million_EURO____Price_Level_2004" localSheetId="4">#REF!</definedName>
    <definedName name="Table_x__Operation_and_Maintenance_Cost___Wastewater_Collection_System___Sliven_Town___Million_EURO____Price_Level_2004" localSheetId="2">#REF!</definedName>
    <definedName name="Table_x__Operation_and_Maintenance_Cost___Wastewater_Collection_System___Sliven_Town___Million_EURO____Price_Level_2004">#REF!</definedName>
    <definedName name="TARG_Plateni" localSheetId="3">#REF!</definedName>
    <definedName name="TARG_Plateni" localSheetId="4">#REF!</definedName>
    <definedName name="TARG_Plateni" localSheetId="2">#REF!</definedName>
    <definedName name="TARG_Plateni">#REF!</definedName>
    <definedName name="TARG_Usvoeni" localSheetId="3">#REF!</definedName>
    <definedName name="TARG_Usvoeni" localSheetId="4">#REF!</definedName>
    <definedName name="TARG_Usvoeni" localSheetId="2">#REF!</definedName>
    <definedName name="TARG_Usvoeni">#REF!</definedName>
    <definedName name="tariffa" localSheetId="3">#REF!</definedName>
    <definedName name="tariffa" localSheetId="4">#REF!</definedName>
    <definedName name="tariffa" localSheetId="2">#REF!</definedName>
    <definedName name="tariffa">#REF!</definedName>
    <definedName name="tariffa1" localSheetId="3">#REF!</definedName>
    <definedName name="tariffa1" localSheetId="4">#REF!</definedName>
    <definedName name="tariffa1" localSheetId="2">#REF!</definedName>
    <definedName name="tariffa1">#REF!</definedName>
    <definedName name="tariffa11" localSheetId="3">#REF!</definedName>
    <definedName name="tariffa11" localSheetId="4">#REF!</definedName>
    <definedName name="tariffa11" localSheetId="2">#REF!</definedName>
    <definedName name="tariffa11">#REF!</definedName>
    <definedName name="tariffa12" localSheetId="3">#REF!</definedName>
    <definedName name="tariffa12" localSheetId="4">#REF!</definedName>
    <definedName name="tariffa12" localSheetId="2">#REF!</definedName>
    <definedName name="tariffa12">#REF!</definedName>
    <definedName name="tariffa13" localSheetId="3">#REF!</definedName>
    <definedName name="tariffa13" localSheetId="4">#REF!</definedName>
    <definedName name="tariffa13" localSheetId="2">#REF!</definedName>
    <definedName name="tariffa13">#REF!</definedName>
    <definedName name="tariffa14" localSheetId="3">#REF!</definedName>
    <definedName name="tariffa14" localSheetId="4">#REF!</definedName>
    <definedName name="tariffa14" localSheetId="2">#REF!</definedName>
    <definedName name="tariffa14">#REF!</definedName>
    <definedName name="tariffa15" localSheetId="3">#REF!</definedName>
    <definedName name="tariffa15" localSheetId="4">#REF!</definedName>
    <definedName name="tariffa15" localSheetId="2">#REF!</definedName>
    <definedName name="tariffa15">#REF!</definedName>
    <definedName name="tariffa2" localSheetId="3">#REF!</definedName>
    <definedName name="tariffa2" localSheetId="4">#REF!</definedName>
    <definedName name="tariffa2" localSheetId="2">#REF!</definedName>
    <definedName name="tariffa2">#REF!</definedName>
    <definedName name="tariffa3" localSheetId="3">#REF!</definedName>
    <definedName name="tariffa3" localSheetId="4">#REF!</definedName>
    <definedName name="tariffa3" localSheetId="2">#REF!</definedName>
    <definedName name="tariffa3">#REF!</definedName>
    <definedName name="tariffa4" localSheetId="3">#REF!</definedName>
    <definedName name="tariffa4" localSheetId="4">#REF!</definedName>
    <definedName name="tariffa4" localSheetId="2">#REF!</definedName>
    <definedName name="tariffa4">#REF!</definedName>
    <definedName name="tariffa5" localSheetId="3">#REF!</definedName>
    <definedName name="tariffa5" localSheetId="4">#REF!</definedName>
    <definedName name="tariffa5" localSheetId="2">#REF!</definedName>
    <definedName name="tariffa5">#REF!</definedName>
    <definedName name="tass" localSheetId="3">#REF!</definedName>
    <definedName name="tass" localSheetId="4">#REF!</definedName>
    <definedName name="tass" localSheetId="2">#REF!</definedName>
    <definedName name="tass">#REF!</definedName>
    <definedName name="Tassi" localSheetId="3">#REF!</definedName>
    <definedName name="Tassi" localSheetId="4">#REF!</definedName>
    <definedName name="Tassi" localSheetId="2">#REF!</definedName>
    <definedName name="Tassi">#REF!</definedName>
    <definedName name="tasso" localSheetId="3">#REF!</definedName>
    <definedName name="tasso" localSheetId="4">#REF!</definedName>
    <definedName name="tasso" localSheetId="2">#REF!</definedName>
    <definedName name="tasso">#REF!</definedName>
    <definedName name="tassomutuo" localSheetId="3">#REF!</definedName>
    <definedName name="tassomutuo" localSheetId="4">#REF!</definedName>
    <definedName name="tassomutuo" localSheetId="2">#REF!</definedName>
    <definedName name="tassomutuo">#REF!</definedName>
    <definedName name="Titul_FinModel">'[7]WW-Invest'!$A$23:$AC$39</definedName>
    <definedName name="totrate" localSheetId="3">#REF!</definedName>
    <definedName name="totrate" localSheetId="4">#REF!</definedName>
    <definedName name="totrate" localSheetId="2">#REF!</definedName>
    <definedName name="totrate">#REF!</definedName>
    <definedName name="trend1" localSheetId="3">#REF!</definedName>
    <definedName name="trend1" localSheetId="4">#REF!</definedName>
    <definedName name="trend1" localSheetId="2">#REF!</definedName>
    <definedName name="trend1">#REF!</definedName>
    <definedName name="trend2" localSheetId="3">#REF!</definedName>
    <definedName name="trend2" localSheetId="4">#REF!</definedName>
    <definedName name="trend2" localSheetId="2">#REF!</definedName>
    <definedName name="trend2">#REF!</definedName>
    <definedName name="ViKs_Name">'[2]Списък ВиК Оператори'!$C$2:$C$25</definedName>
    <definedName name="Vtp">[8]Хипотези!$B$4:$B$10</definedName>
    <definedName name="wrn.Fuel._.3.5." localSheetId="3" hidden="1">{#N/A,#N/A,FALSE,"Fuel 3.5%"}</definedName>
    <definedName name="wrn.Fuel._.3.5." localSheetId="4" hidden="1">{#N/A,#N/A,FALSE,"Fuel 3.5%"}</definedName>
    <definedName name="wrn.Fuel._.3.5." localSheetId="2" hidden="1">{#N/A,#N/A,FALSE,"Fuel 3.5%"}</definedName>
    <definedName name="wrn.Fuel._.3.5." hidden="1">{#N/A,#N/A,FALSE,"Fuel 3.5%"}</definedName>
    <definedName name="WS_DGC">'[2]Приложени коефициенти'!$B$3</definedName>
    <definedName name="WS_UA">'[2]Приложени коефициенти'!$B$2</definedName>
    <definedName name="WS_URA">'[2]Приложени коефициенти'!$B$4</definedName>
    <definedName name="WWS_DGC">'[2]Приложени коефициенти'!$B$9</definedName>
    <definedName name="WWS_UA">'[2]Приложени коефициенти'!$B$8</definedName>
    <definedName name="WWS_URA">'[2]Приложени коефициенти'!$B$10</definedName>
    <definedName name="Year" localSheetId="3">#REF!</definedName>
    <definedName name="Year" localSheetId="4">#REF!</definedName>
    <definedName name="Year" localSheetId="2">#REF!</definedName>
    <definedName name="Year">#REF!</definedName>
    <definedName name="Yes_No">'[2]Приложени коефициенти'!$E$1:$E$2</definedName>
    <definedName name="Амортизации" hidden="1">[9]Инвестиции!$A$43:$IV$43</definedName>
    <definedName name="Амортизации_първа_год" hidden="1">[9]Инвестиции!$E$40</definedName>
    <definedName name="Брутна_печалба" localSheetId="3">#REF!</definedName>
    <definedName name="Брутна_печалба" localSheetId="4">#REF!</definedName>
    <definedName name="Брутна_печалба" localSheetId="2">#REF!</definedName>
    <definedName name="Брутна_печалба">#REF!</definedName>
    <definedName name="Вземания_по_ДДС" localSheetId="3">#REF!</definedName>
    <definedName name="Вземания_по_ДДС" localSheetId="4">#REF!</definedName>
    <definedName name="Вземания_по_ДДС" localSheetId="2">#REF!</definedName>
    <definedName name="Вземания_по_ДДС">#REF!</definedName>
    <definedName name="Вземания_по_получени_през_периода_съучастия" hidden="1">'[9]Собствен капитал'!$A$7:$IV$7</definedName>
    <definedName name="Внесен_ДДС" localSheetId="3">#REF!</definedName>
    <definedName name="Внесен_ДДС" localSheetId="4">#REF!</definedName>
    <definedName name="Внесен_ДДС" localSheetId="2">#REF!</definedName>
    <definedName name="Внесен_ДДС">#REF!</definedName>
    <definedName name="ВС_1" localSheetId="3">#REF!</definedName>
    <definedName name="ВС_1" localSheetId="4">#REF!</definedName>
    <definedName name="ВС_1" localSheetId="2">#REF!</definedName>
    <definedName name="ВС_1">#REF!</definedName>
    <definedName name="ВС_2" localSheetId="3">#REF!</definedName>
    <definedName name="ВС_2" localSheetId="4">#REF!</definedName>
    <definedName name="ВС_2" localSheetId="2">#REF!</definedName>
    <definedName name="ВС_2">#REF!</definedName>
    <definedName name="ВС_3" localSheetId="3">#REF!</definedName>
    <definedName name="ВС_3" localSheetId="4">#REF!</definedName>
    <definedName name="ВС_3" localSheetId="2">#REF!</definedName>
    <definedName name="ВС_3">#REF!</definedName>
    <definedName name="ВС_4" localSheetId="3">#REF!</definedName>
    <definedName name="ВС_4" localSheetId="4">#REF!</definedName>
    <definedName name="ВС_4" localSheetId="2">#REF!</definedName>
    <definedName name="ВС_4">#REF!</definedName>
    <definedName name="ВС_5" localSheetId="3">#REF!</definedName>
    <definedName name="ВС_5" localSheetId="4">#REF!</definedName>
    <definedName name="ВС_5" localSheetId="2">#REF!</definedName>
    <definedName name="ВС_5">#REF!</definedName>
    <definedName name="Всичко_инвестиции" localSheetId="3">'[10]10. Инвестиции'!#REF!</definedName>
    <definedName name="Всичко_инвестиции" localSheetId="4">'[10]10. Инвестиции'!#REF!</definedName>
    <definedName name="Всичко_инвестиции" localSheetId="2">'[10]10. Инвестиции'!#REF!</definedName>
    <definedName name="Всичко_инвестиции">'[10]10. Инвестиции'!#REF!</definedName>
    <definedName name="Външни_услуги" localSheetId="3">#REF!</definedName>
    <definedName name="Външни_услуги" localSheetId="4">#REF!</definedName>
    <definedName name="Външни_услуги" localSheetId="2">#REF!</definedName>
    <definedName name="Външни_услуги">#REF!</definedName>
    <definedName name="Данъци" localSheetId="3">#REF!</definedName>
    <definedName name="Данъци" localSheetId="4">#REF!</definedName>
    <definedName name="Данъци" localSheetId="2">#REF!</definedName>
    <definedName name="Данъци">#REF!</definedName>
    <definedName name="Данъчен_период" localSheetId="3">#REF!</definedName>
    <definedName name="Данъчен_период" localSheetId="4">#REF!</definedName>
    <definedName name="Данъчен_период" localSheetId="2">#REF!</definedName>
    <definedName name="Данъчен_период">#REF!</definedName>
    <definedName name="Дни_на_оборот_на_запасите" localSheetId="3">#REF!</definedName>
    <definedName name="Дни_на_оборот_на_запасите" localSheetId="4">#REF!</definedName>
    <definedName name="Дни_на_оборот_на_запасите" localSheetId="2">#REF!</definedName>
    <definedName name="Дни_на_оборот_на_запасите">#REF!</definedName>
    <definedName name="Дял_на_продажбите_на_кредит" localSheetId="3">#REF!</definedName>
    <definedName name="Дял_на_продажбите_на_кредит" localSheetId="4">#REF!</definedName>
    <definedName name="Дял_на_продажбите_на_кредит" localSheetId="2">#REF!</definedName>
    <definedName name="Дял_на_продажбите_на_кредит">#REF!</definedName>
    <definedName name="Е_INV">[3]Sensitivity!$F$75</definedName>
    <definedName name="Е_OeM">[3]Sensitivity!$F$76</definedName>
    <definedName name="Електроенергия" hidden="1">[9]Себестойност!$A$124:$IV$124</definedName>
    <definedName name="Задължения_по_ДДС" localSheetId="3">#REF!</definedName>
    <definedName name="Задължения_по_ДДС" localSheetId="4">#REF!</definedName>
    <definedName name="Задължения_по_ДДС" localSheetId="2">#REF!</definedName>
    <definedName name="Задължения_по_ДДС">#REF!</definedName>
    <definedName name="Зона_1" localSheetId="3">#REF!</definedName>
    <definedName name="Зона_1" localSheetId="4">#REF!</definedName>
    <definedName name="Зона_1" localSheetId="2">#REF!</definedName>
    <definedName name="Зона_1">#REF!</definedName>
    <definedName name="Зона_2" localSheetId="3">#REF!</definedName>
    <definedName name="Зона_2" localSheetId="4">#REF!</definedName>
    <definedName name="Зона_2" localSheetId="2">#REF!</definedName>
    <definedName name="Зона_2">#REF!</definedName>
    <definedName name="Зона_3" localSheetId="3">#REF!</definedName>
    <definedName name="Зона_3" localSheetId="4">#REF!</definedName>
    <definedName name="Зона_3" localSheetId="2">#REF!</definedName>
    <definedName name="Зона_3">#REF!</definedName>
    <definedName name="Зона_4" localSheetId="3">#REF!</definedName>
    <definedName name="Зона_4" localSheetId="4">#REF!</definedName>
    <definedName name="Зона_4" localSheetId="2">#REF!</definedName>
    <definedName name="Зона_4">#REF!</definedName>
    <definedName name="Зона_5" localSheetId="3">#REF!</definedName>
    <definedName name="Зона_5" localSheetId="4">#REF!</definedName>
    <definedName name="Зона_5" localSheetId="2">#REF!</definedName>
    <definedName name="Зона_5">#REF!</definedName>
    <definedName name="Лихви" localSheetId="3">#REF!</definedName>
    <definedName name="Лихви" localSheetId="4">#REF!</definedName>
    <definedName name="Лихви" localSheetId="2">#REF!</definedName>
    <definedName name="Лихви">#REF!</definedName>
    <definedName name="Материали" localSheetId="3">#REF!</definedName>
    <definedName name="Материали" localSheetId="4">#REF!</definedName>
    <definedName name="Материали" localSheetId="2">#REF!</definedName>
    <definedName name="Материали">#REF!</definedName>
    <definedName name="Намаление_на_собствения_капитал" hidden="1">'[9]Собствен капитал'!$A$6:$IV$6</definedName>
    <definedName name="Намаление_на_финансиранията" localSheetId="3">#REF!</definedName>
    <definedName name="Намаление_на_финансиранията" localSheetId="4">#REF!</definedName>
    <definedName name="Намаление_на_финансиранията" localSheetId="2">#REF!</definedName>
    <definedName name="Намаление_на_финансиранията">#REF!</definedName>
    <definedName name="Начална_година" localSheetId="3">#REF!</definedName>
    <definedName name="Начална_година" localSheetId="4">#REF!</definedName>
    <definedName name="Начална_година" localSheetId="2">#REF!</definedName>
    <definedName name="Начална_година">#REF!</definedName>
    <definedName name="Общо_разходи_за_заплати" localSheetId="3">#REF!</definedName>
    <definedName name="Общо_разходи_за_заплати" localSheetId="4">#REF!</definedName>
    <definedName name="Общо_разходи_за_заплати" localSheetId="2">#REF!</definedName>
    <definedName name="Общо_разходи_за_заплати">#REF!</definedName>
    <definedName name="Отчетна_стойност_на_продадените_стоки" hidden="1">[9]Себестойност!$A$125:$IV$125</definedName>
    <definedName name="Печалба_загуба" localSheetId="3">#REF!</definedName>
    <definedName name="Печалба_загуба" localSheetId="4">#REF!</definedName>
    <definedName name="Печалба_загуба" localSheetId="2">#REF!</definedName>
    <definedName name="Печалба_загуба">#REF!</definedName>
    <definedName name="Платен_ДДС" localSheetId="3">#REF!</definedName>
    <definedName name="Платен_ДДС" localSheetId="4">#REF!</definedName>
    <definedName name="Платен_ДДС" localSheetId="2">#REF!</definedName>
    <definedName name="Платен_ДДС">#REF!</definedName>
    <definedName name="Погасяване_главници_ДЗ" localSheetId="3">#REF!</definedName>
    <definedName name="Погасяване_главници_ДЗ" localSheetId="4">#REF!</definedName>
    <definedName name="Погасяване_главници_ДЗ" localSheetId="2">#REF!</definedName>
    <definedName name="Погасяване_главници_ДЗ">#REF!</definedName>
    <definedName name="Погасяване_главници_КЗ" localSheetId="3">#REF!</definedName>
    <definedName name="Погасяване_главници_КЗ" localSheetId="4">#REF!</definedName>
    <definedName name="Погасяване_главници_КЗ" localSheetId="2">#REF!</definedName>
    <definedName name="Погасяване_главници_КЗ">#REF!</definedName>
    <definedName name="Погасяване_главници_ОЗ" localSheetId="3">#REF!</definedName>
    <definedName name="Погасяване_главници_ОЗ" localSheetId="4">#REF!</definedName>
    <definedName name="Погасяване_главници_ОЗ" localSheetId="2">#REF!</definedName>
    <definedName name="Погасяване_главници_ОЗ">#REF!</definedName>
    <definedName name="Получен_ДДС_от_бюджета_през_периода" localSheetId="3">#REF!</definedName>
    <definedName name="Получен_ДДС_от_бюджета_през_периода" localSheetId="4">#REF!</definedName>
    <definedName name="Получен_ДДС_от_бюджета_през_периода" localSheetId="2">#REF!</definedName>
    <definedName name="Получен_ДДС_от_бюджета_през_периода">#REF!</definedName>
    <definedName name="Получени_вземания_по_ЗДВ" hidden="1">'[9]Собствен капитал'!$A$5:$IV$5</definedName>
    <definedName name="Получени_ДЗ" localSheetId="3">#REF!</definedName>
    <definedName name="Получени_ДЗ" localSheetId="4">#REF!</definedName>
    <definedName name="Получени_ДЗ" localSheetId="2">#REF!</definedName>
    <definedName name="Получени_ДЗ">#REF!</definedName>
    <definedName name="Получени_КЗ" localSheetId="3">#REF!</definedName>
    <definedName name="Получени_КЗ" localSheetId="4">#REF!</definedName>
    <definedName name="Получени_КЗ" localSheetId="2">#REF!</definedName>
    <definedName name="Получени_КЗ">#REF!</definedName>
    <definedName name="Получени_ОЗ" localSheetId="3">#REF!</definedName>
    <definedName name="Получени_ОЗ" localSheetId="4">#REF!</definedName>
    <definedName name="Получени_ОЗ" localSheetId="2">#REF!</definedName>
    <definedName name="Получени_ОЗ">#REF!</definedName>
    <definedName name="Получени_съучастия" hidden="1">'[9]Собствен капитал'!$A$4:$IV$4</definedName>
    <definedName name="Получени_финансирания" localSheetId="3">#REF!</definedName>
    <definedName name="Получени_финансирания" localSheetId="4">#REF!</definedName>
    <definedName name="Получени_финансирания" localSheetId="2">#REF!</definedName>
    <definedName name="Получени_финансирания">#REF!</definedName>
    <definedName name="Продажби" localSheetId="3">#REF!</definedName>
    <definedName name="Продажби" localSheetId="4">#REF!</definedName>
    <definedName name="Продажби" localSheetId="2">#REF!</definedName>
    <definedName name="Продажби">#REF!</definedName>
    <definedName name="Разходи_за_външни_услуги" localSheetId="3">#REF!</definedName>
    <definedName name="Разходи_за_външни_услуги" localSheetId="4">#REF!</definedName>
    <definedName name="Разходи_за_външни_услуги" localSheetId="2">#REF!</definedName>
    <definedName name="Разходи_за_външни_услуги">#REF!</definedName>
    <definedName name="Разходи_за_материали" localSheetId="3">#REF!</definedName>
    <definedName name="Разходи_за_материали" localSheetId="4">#REF!</definedName>
    <definedName name="Разходи_за_материали" localSheetId="2">#REF!</definedName>
    <definedName name="Разходи_за_материали">#REF!</definedName>
    <definedName name="Разходи_за_осигуровки" localSheetId="3">#REF!</definedName>
    <definedName name="Разходи_за_осигуровки" localSheetId="4">#REF!</definedName>
    <definedName name="Разходи_за_осигуровки" localSheetId="2">#REF!</definedName>
    <definedName name="Разходи_за_осигуровки">#REF!</definedName>
    <definedName name="Срок_на_плащане" localSheetId="3">#REF!</definedName>
    <definedName name="Срок_на_плащане" localSheetId="4">#REF!</definedName>
    <definedName name="Срок_на_плащане" localSheetId="2">#REF!</definedName>
    <definedName name="Срок_на_плащане">#REF!</definedName>
    <definedName name="Срок_на_събиране_на_вземанията" localSheetId="3">#REF!</definedName>
    <definedName name="Срок_на_събиране_на_вземанията" localSheetId="4">#REF!</definedName>
    <definedName name="Срок_на_събиране_на_вземанията" localSheetId="2">#REF!</definedName>
    <definedName name="Срок_на_събиране_на_вземанията">#REF!</definedName>
    <definedName name="Ставка_ДДС" localSheetId="3">#REF!</definedName>
    <definedName name="Ставка_ДДС" localSheetId="4">#REF!</definedName>
    <definedName name="Ставка_ДДС" localSheetId="2">#REF!</definedName>
    <definedName name="Ставка_ДДС">#REF!</definedName>
    <definedName name="Събран_ДДС" localSheetId="3">#REF!</definedName>
    <definedName name="Събран_ДДС" localSheetId="4">#REF!</definedName>
    <definedName name="Събран_ДДС" localSheetId="2">#REF!</definedName>
    <definedName name="Събран_ДДС">#REF!</definedName>
    <definedName name="Услуга_1" localSheetId="3">#REF!</definedName>
    <definedName name="Услуга_1" localSheetId="4">#REF!</definedName>
    <definedName name="Услуга_1" localSheetId="2">#REF!</definedName>
    <definedName name="Услуга_1">#REF!</definedName>
    <definedName name="Услуга_2" localSheetId="3">#REF!</definedName>
    <definedName name="Услуга_2" localSheetId="4">#REF!</definedName>
    <definedName name="Услуга_2" localSheetId="2">#REF!</definedName>
    <definedName name="Услуга_2">#REF!</definedName>
    <definedName name="Услуга_3" localSheetId="3">#REF!</definedName>
    <definedName name="Услуга_3" localSheetId="4">#REF!</definedName>
    <definedName name="Услуга_3" localSheetId="2">#REF!</definedName>
    <definedName name="Услуга_3">#REF!</definedName>
    <definedName name="Услуга_4" localSheetId="3">#REF!</definedName>
    <definedName name="Услуга_4" localSheetId="4">#REF!</definedName>
    <definedName name="Услуга_4" localSheetId="2">#REF!</definedName>
    <definedName name="Услуга_4">#REF!</definedName>
    <definedName name="Услуга_5" localSheetId="3">#REF!</definedName>
    <definedName name="Услуга_5" localSheetId="4">#REF!</definedName>
    <definedName name="Услуга_5" localSheetId="2">#REF!</definedName>
    <definedName name="Услуга_5">#REF!</definedName>
    <definedName name="Услуги_и_др." hidden="1">[9]Себестойност!$A$126:$IV$126</definedName>
    <definedName name="ЧПП" localSheetId="3">#REF!</definedName>
    <definedName name="ЧПП" localSheetId="4">#REF!</definedName>
    <definedName name="ЧПП" localSheetId="2">#REF!</definedName>
    <definedName name="ЧПП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5" i="3" l="1"/>
  <c r="C9" i="7"/>
  <c r="L11" i="3"/>
  <c r="F16" i="1"/>
  <c r="F15" i="1"/>
  <c r="G14" i="1"/>
  <c r="H11" i="3" l="1"/>
  <c r="I11" i="6"/>
  <c r="D7" i="1" l="1"/>
  <c r="D15" i="1"/>
  <c r="J15" i="5" l="1"/>
  <c r="E39" i="5"/>
  <c r="H16" i="3" l="1"/>
  <c r="H15" i="3"/>
  <c r="H14" i="3"/>
  <c r="H13" i="3"/>
  <c r="H12" i="3"/>
  <c r="AC59" i="5"/>
  <c r="AB59" i="5"/>
  <c r="AA59" i="5"/>
  <c r="Z59" i="5"/>
  <c r="Y59" i="5"/>
  <c r="X59" i="5"/>
  <c r="W59" i="5"/>
  <c r="V59" i="5"/>
  <c r="U59" i="5"/>
  <c r="T59" i="5"/>
  <c r="S59" i="5"/>
  <c r="R59" i="5"/>
  <c r="Q59" i="5"/>
  <c r="P59" i="5"/>
  <c r="O59" i="5"/>
  <c r="N59" i="5"/>
  <c r="M59" i="5"/>
  <c r="L59" i="5"/>
  <c r="K59" i="5"/>
  <c r="J59" i="5"/>
  <c r="I59" i="5"/>
  <c r="H59" i="5"/>
  <c r="G59" i="5"/>
  <c r="F59" i="5"/>
  <c r="E59" i="5"/>
  <c r="D59" i="5"/>
  <c r="P63" i="5"/>
  <c r="O63" i="5"/>
  <c r="N63" i="5"/>
  <c r="M63" i="5"/>
  <c r="L63" i="5"/>
  <c r="K63" i="5"/>
  <c r="J63" i="5"/>
  <c r="I63" i="5"/>
  <c r="H63" i="5"/>
  <c r="G63" i="5"/>
  <c r="F63" i="5"/>
  <c r="E63" i="5"/>
  <c r="AC62" i="5"/>
  <c r="AB62" i="5"/>
  <c r="AA62" i="5"/>
  <c r="Z62" i="5"/>
  <c r="Y62" i="5"/>
  <c r="X62" i="5"/>
  <c r="W62" i="5"/>
  <c r="V62" i="5"/>
  <c r="U62" i="5"/>
  <c r="T62" i="5"/>
  <c r="S62" i="5"/>
  <c r="R62" i="5"/>
  <c r="Q62" i="5"/>
  <c r="P62" i="5"/>
  <c r="O62" i="5"/>
  <c r="N62" i="5"/>
  <c r="M62" i="5"/>
  <c r="L62" i="5"/>
  <c r="K62" i="5"/>
  <c r="J62" i="5"/>
  <c r="I62" i="5"/>
  <c r="H62" i="5"/>
  <c r="G62" i="5"/>
  <c r="F62" i="5"/>
  <c r="E62" i="5"/>
  <c r="AC61" i="5"/>
  <c r="AB61" i="5"/>
  <c r="AA61" i="5"/>
  <c r="Z61" i="5"/>
  <c r="Y61" i="5"/>
  <c r="X61" i="5"/>
  <c r="W61" i="5"/>
  <c r="V61" i="5"/>
  <c r="U61" i="5"/>
  <c r="T61" i="5"/>
  <c r="S61" i="5"/>
  <c r="R61" i="5"/>
  <c r="Q61" i="5"/>
  <c r="P61" i="5"/>
  <c r="O61" i="5"/>
  <c r="N61" i="5"/>
  <c r="M61" i="5"/>
  <c r="L61" i="5"/>
  <c r="K61" i="5"/>
  <c r="J61" i="5"/>
  <c r="I61" i="5"/>
  <c r="H61" i="5"/>
  <c r="G61" i="5"/>
  <c r="F61" i="5"/>
  <c r="E61" i="5"/>
  <c r="D63" i="5"/>
  <c r="D62" i="5"/>
  <c r="D61" i="5"/>
  <c r="C63" i="5"/>
  <c r="C62" i="5"/>
  <c r="C61" i="5"/>
  <c r="AD59" i="5"/>
  <c r="P41" i="4"/>
  <c r="Q41" i="4" s="1"/>
  <c r="R41" i="4" s="1"/>
  <c r="S41" i="4" s="1"/>
  <c r="T41" i="4" s="1"/>
  <c r="U41" i="4" s="1"/>
  <c r="V41" i="4" s="1"/>
  <c r="W41" i="4" s="1"/>
  <c r="X41" i="4" s="1"/>
  <c r="Y41" i="4" s="1"/>
  <c r="Z41" i="4" s="1"/>
  <c r="AA41" i="4" s="1"/>
  <c r="AB41" i="4" s="1"/>
  <c r="AC41" i="4" s="1"/>
  <c r="AC63" i="5" s="1"/>
  <c r="O41" i="4"/>
  <c r="N41" i="4"/>
  <c r="M41" i="4"/>
  <c r="L41" i="4"/>
  <c r="K41" i="4"/>
  <c r="J41" i="4"/>
  <c r="I41" i="4"/>
  <c r="H41" i="4"/>
  <c r="G41" i="4"/>
  <c r="F41" i="4"/>
  <c r="E41" i="4"/>
  <c r="D41" i="4"/>
  <c r="E41" i="5"/>
  <c r="E57" i="5"/>
  <c r="C40" i="5" s="1"/>
  <c r="D57" i="5"/>
  <c r="E54" i="5"/>
  <c r="D54" i="5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41" i="4"/>
  <c r="C40" i="4"/>
  <c r="C39" i="4"/>
  <c r="D30" i="6"/>
  <c r="E30" i="6" s="1"/>
  <c r="F30" i="6" s="1"/>
  <c r="G30" i="6" s="1"/>
  <c r="H30" i="6" s="1"/>
  <c r="I30" i="6" s="1"/>
  <c r="J30" i="6" s="1"/>
  <c r="K30" i="6" s="1"/>
  <c r="L30" i="6" s="1"/>
  <c r="M30" i="6" s="1"/>
  <c r="D29" i="6"/>
  <c r="E29" i="6" s="1"/>
  <c r="D28" i="6"/>
  <c r="C28" i="6"/>
  <c r="C21" i="6"/>
  <c r="D21" i="6" s="1"/>
  <c r="E21" i="6" s="1"/>
  <c r="F21" i="6" s="1"/>
  <c r="G21" i="6" s="1"/>
  <c r="H21" i="6" s="1"/>
  <c r="I21" i="6" s="1"/>
  <c r="J21" i="6" s="1"/>
  <c r="K21" i="6" s="1"/>
  <c r="L21" i="6" s="1"/>
  <c r="M21" i="6" s="1"/>
  <c r="C20" i="6"/>
  <c r="D20" i="6" s="1"/>
  <c r="E20" i="6" s="1"/>
  <c r="F20" i="6" s="1"/>
  <c r="G20" i="6" s="1"/>
  <c r="H20" i="6" s="1"/>
  <c r="I20" i="6" s="1"/>
  <c r="J20" i="6" s="1"/>
  <c r="K20" i="6" s="1"/>
  <c r="L20" i="6" s="1"/>
  <c r="M20" i="6" s="1"/>
  <c r="E19" i="6"/>
  <c r="F19" i="6" s="1"/>
  <c r="G19" i="6" s="1"/>
  <c r="H19" i="6" s="1"/>
  <c r="I19" i="6" s="1"/>
  <c r="J19" i="6" s="1"/>
  <c r="K19" i="6" s="1"/>
  <c r="L19" i="6" s="1"/>
  <c r="M19" i="6" s="1"/>
  <c r="D19" i="6"/>
  <c r="D18" i="6"/>
  <c r="E18" i="6" s="1"/>
  <c r="F18" i="6" s="1"/>
  <c r="G18" i="6" s="1"/>
  <c r="H18" i="6" s="1"/>
  <c r="I18" i="6" s="1"/>
  <c r="J18" i="6" s="1"/>
  <c r="K18" i="6" s="1"/>
  <c r="L18" i="6" s="1"/>
  <c r="M18" i="6" s="1"/>
  <c r="I5" i="6"/>
  <c r="E3" i="6"/>
  <c r="F3" i="6" s="1"/>
  <c r="G3" i="6" s="1"/>
  <c r="H3" i="6" s="1"/>
  <c r="D3" i="6"/>
  <c r="AD37" i="4"/>
  <c r="Q63" i="5" l="1"/>
  <c r="U63" i="5"/>
  <c r="X63" i="5"/>
  <c r="Y63" i="5"/>
  <c r="V63" i="5"/>
  <c r="W63" i="5"/>
  <c r="R63" i="5"/>
  <c r="Z63" i="5"/>
  <c r="S63" i="5"/>
  <c r="AA63" i="5"/>
  <c r="T63" i="5"/>
  <c r="AB63" i="5"/>
  <c r="E43" i="5"/>
  <c r="E28" i="6"/>
  <c r="F29" i="6"/>
  <c r="F28" i="6" l="1"/>
  <c r="G29" i="6"/>
  <c r="G28" i="6" l="1"/>
  <c r="H29" i="6"/>
  <c r="J35" i="3"/>
  <c r="I35" i="3"/>
  <c r="H35" i="3"/>
  <c r="G35" i="3"/>
  <c r="F35" i="3"/>
  <c r="F38" i="3" s="1"/>
  <c r="G31" i="3"/>
  <c r="H31" i="3" s="1"/>
  <c r="I31" i="3" s="1"/>
  <c r="J31" i="3" s="1"/>
  <c r="K31" i="3" s="1"/>
  <c r="L31" i="3" s="1"/>
  <c r="M31" i="3" s="1"/>
  <c r="N31" i="3" s="1"/>
  <c r="O31" i="3" s="1"/>
  <c r="P31" i="3" s="1"/>
  <c r="Q31" i="3" s="1"/>
  <c r="R31" i="3" s="1"/>
  <c r="S31" i="3" s="1"/>
  <c r="T31" i="3" s="1"/>
  <c r="U31" i="3" s="1"/>
  <c r="V31" i="3" s="1"/>
  <c r="W31" i="3" s="1"/>
  <c r="X31" i="3" s="1"/>
  <c r="Y31" i="3" s="1"/>
  <c r="Z31" i="3" s="1"/>
  <c r="AA31" i="3" s="1"/>
  <c r="AB31" i="3" s="1"/>
  <c r="AC31" i="3" s="1"/>
  <c r="AD31" i="3" s="1"/>
  <c r="C10" i="1"/>
  <c r="C18" i="1" s="1"/>
  <c r="D32" i="5"/>
  <c r="G24" i="5"/>
  <c r="G23" i="5"/>
  <c r="F21" i="5"/>
  <c r="F22" i="5" s="1"/>
  <c r="E21" i="5"/>
  <c r="E22" i="5" s="1"/>
  <c r="D21" i="5"/>
  <c r="D22" i="5" s="1"/>
  <c r="G22" i="5" s="1"/>
  <c r="G20" i="5"/>
  <c r="F19" i="5"/>
  <c r="E19" i="5"/>
  <c r="D19" i="5"/>
  <c r="G19" i="5" s="1"/>
  <c r="G18" i="5"/>
  <c r="G17" i="5"/>
  <c r="E16" i="5"/>
  <c r="D16" i="5"/>
  <c r="G16" i="5" s="1"/>
  <c r="G15" i="5"/>
  <c r="G14" i="5"/>
  <c r="G13" i="5"/>
  <c r="F12" i="5"/>
  <c r="E12" i="5"/>
  <c r="D12" i="5"/>
  <c r="G11" i="5"/>
  <c r="I11" i="5" s="1"/>
  <c r="I15" i="5" l="1"/>
  <c r="I17" i="5"/>
  <c r="I12" i="5"/>
  <c r="I14" i="5"/>
  <c r="I29" i="6"/>
  <c r="H28" i="6"/>
  <c r="I20" i="5"/>
  <c r="E32" i="5"/>
  <c r="F32" i="5" s="1"/>
  <c r="G32" i="5" s="1"/>
  <c r="H32" i="5" s="1"/>
  <c r="I32" i="5" s="1"/>
  <c r="J32" i="5" s="1"/>
  <c r="K32" i="5" s="1"/>
  <c r="L32" i="5" s="1"/>
  <c r="M32" i="5" s="1"/>
  <c r="N32" i="5" s="1"/>
  <c r="O32" i="5" s="1"/>
  <c r="P32" i="5" s="1"/>
  <c r="Q32" i="5" s="1"/>
  <c r="R32" i="5" s="1"/>
  <c r="S32" i="5" s="1"/>
  <c r="T32" i="5" s="1"/>
  <c r="U32" i="5" s="1"/>
  <c r="V32" i="5" s="1"/>
  <c r="W32" i="5" s="1"/>
  <c r="X32" i="5" s="1"/>
  <c r="Y32" i="5" s="1"/>
  <c r="Z32" i="5" s="1"/>
  <c r="AA32" i="5" s="1"/>
  <c r="AB32" i="5" s="1"/>
  <c r="AC32" i="5" s="1"/>
  <c r="G12" i="5"/>
  <c r="I13" i="5"/>
  <c r="G21" i="5"/>
  <c r="H13" i="5" s="1"/>
  <c r="H20" i="5" l="1"/>
  <c r="H11" i="5"/>
  <c r="H14" i="5"/>
  <c r="J29" i="6"/>
  <c r="I28" i="6"/>
  <c r="H15" i="5"/>
  <c r="H17" i="5"/>
  <c r="H18" i="5"/>
  <c r="K29" i="6" l="1"/>
  <c r="J28" i="6"/>
  <c r="L29" i="6" l="1"/>
  <c r="K28" i="6"/>
  <c r="M29" i="6" l="1"/>
  <c r="M28" i="6" s="1"/>
  <c r="L28" i="6"/>
  <c r="D31" i="4" l="1"/>
  <c r="D37" i="4" s="1"/>
  <c r="G23" i="4"/>
  <c r="G21" i="4"/>
  <c r="I21" i="4" s="1"/>
  <c r="G20" i="4"/>
  <c r="G19" i="4"/>
  <c r="F19" i="4"/>
  <c r="E19" i="4"/>
  <c r="D19" i="4"/>
  <c r="G18" i="4"/>
  <c r="G17" i="4"/>
  <c r="F16" i="4"/>
  <c r="E16" i="4"/>
  <c r="E22" i="4" s="1"/>
  <c r="D16" i="4"/>
  <c r="G15" i="4"/>
  <c r="G14" i="4"/>
  <c r="G13" i="4"/>
  <c r="F12" i="4"/>
  <c r="F22" i="4" s="1"/>
  <c r="E12" i="4"/>
  <c r="D12" i="4"/>
  <c r="D22" i="4" s="1"/>
  <c r="G11" i="4"/>
  <c r="G19" i="3"/>
  <c r="D6" i="3"/>
  <c r="C6" i="4" s="1"/>
  <c r="C6" i="5" s="1"/>
  <c r="D4" i="3"/>
  <c r="C4" i="5" l="1"/>
  <c r="C4" i="4"/>
  <c r="I17" i="4"/>
  <c r="I18" i="4"/>
  <c r="G12" i="4"/>
  <c r="H12" i="4" s="1"/>
  <c r="I13" i="4"/>
  <c r="E31" i="4"/>
  <c r="I14" i="4"/>
  <c r="I20" i="4"/>
  <c r="H19" i="3"/>
  <c r="D10" i="1"/>
  <c r="D18" i="1" s="1"/>
  <c r="I15" i="4"/>
  <c r="I22" i="4" s="1"/>
  <c r="G16" i="4"/>
  <c r="G22" i="4" s="1"/>
  <c r="F31" i="4" l="1"/>
  <c r="E37" i="4"/>
  <c r="I19" i="3"/>
  <c r="E10" i="1"/>
  <c r="E18" i="1" s="1"/>
  <c r="H17" i="4"/>
  <c r="H14" i="4"/>
  <c r="H11" i="4"/>
  <c r="H20" i="4"/>
  <c r="H21" i="4"/>
  <c r="H13" i="4"/>
  <c r="H15" i="4"/>
  <c r="H18" i="4"/>
  <c r="G31" i="4" l="1"/>
  <c r="F37" i="4"/>
  <c r="J19" i="3"/>
  <c r="F10" i="1"/>
  <c r="F18" i="1" s="1"/>
  <c r="H31" i="4" l="1"/>
  <c r="G37" i="4"/>
  <c r="K19" i="3"/>
  <c r="G10" i="1"/>
  <c r="G18" i="1" s="1"/>
  <c r="I31" i="4" l="1"/>
  <c r="H37" i="4"/>
  <c r="L19" i="3"/>
  <c r="H10" i="1"/>
  <c r="H18" i="1" s="1"/>
  <c r="J31" i="4" l="1"/>
  <c r="I37" i="4"/>
  <c r="M19" i="3"/>
  <c r="I10" i="1"/>
  <c r="I18" i="1" s="1"/>
  <c r="K31" i="4" l="1"/>
  <c r="J37" i="4"/>
  <c r="N19" i="3"/>
  <c r="J10" i="1"/>
  <c r="J18" i="1" s="1"/>
  <c r="L31" i="4" l="1"/>
  <c r="K37" i="4"/>
  <c r="O19" i="3"/>
  <c r="K10" i="1"/>
  <c r="K18" i="1" s="1"/>
  <c r="M31" i="4" l="1"/>
  <c r="L37" i="4"/>
  <c r="P19" i="3"/>
  <c r="L10" i="1"/>
  <c r="L18" i="1" s="1"/>
  <c r="N31" i="4" l="1"/>
  <c r="M37" i="4"/>
  <c r="Q19" i="3"/>
  <c r="M10" i="1"/>
  <c r="M18" i="1" s="1"/>
  <c r="O31" i="4" l="1"/>
  <c r="N37" i="4"/>
  <c r="R19" i="3"/>
  <c r="N10" i="1"/>
  <c r="N18" i="1" s="1"/>
  <c r="P31" i="4" l="1"/>
  <c r="O37" i="4"/>
  <c r="S19" i="3"/>
  <c r="O10" i="1"/>
  <c r="O18" i="1" s="1"/>
  <c r="Q31" i="4" l="1"/>
  <c r="P37" i="4"/>
  <c r="T19" i="3"/>
  <c r="P10" i="1"/>
  <c r="P18" i="1" s="1"/>
  <c r="R31" i="4" l="1"/>
  <c r="Q37" i="4"/>
  <c r="U19" i="3"/>
  <c r="Q10" i="1"/>
  <c r="Q18" i="1" s="1"/>
  <c r="S31" i="4" l="1"/>
  <c r="R37" i="4"/>
  <c r="V19" i="3"/>
  <c r="R10" i="1"/>
  <c r="R18" i="1" s="1"/>
  <c r="T31" i="4" l="1"/>
  <c r="S37" i="4"/>
  <c r="W19" i="3"/>
  <c r="S10" i="1"/>
  <c r="S18" i="1" s="1"/>
  <c r="U31" i="4" l="1"/>
  <c r="T37" i="4"/>
  <c r="X19" i="3"/>
  <c r="T10" i="1"/>
  <c r="T18" i="1" s="1"/>
  <c r="V31" i="4" l="1"/>
  <c r="U37" i="4"/>
  <c r="Y19" i="3"/>
  <c r="U10" i="1"/>
  <c r="U18" i="1" s="1"/>
  <c r="W31" i="4" l="1"/>
  <c r="V37" i="4"/>
  <c r="Z19" i="3"/>
  <c r="V10" i="1"/>
  <c r="V18" i="1" s="1"/>
  <c r="X31" i="4" l="1"/>
  <c r="W37" i="4"/>
  <c r="AA19" i="3"/>
  <c r="W10" i="1"/>
  <c r="W18" i="1" s="1"/>
  <c r="Y31" i="4" l="1"/>
  <c r="X37" i="4"/>
  <c r="AB19" i="3"/>
  <c r="X10" i="1"/>
  <c r="X18" i="1" s="1"/>
  <c r="Z31" i="4" l="1"/>
  <c r="Y37" i="4"/>
  <c r="AC19" i="3"/>
  <c r="Y10" i="1"/>
  <c r="Y18" i="1" s="1"/>
  <c r="AA31" i="4" l="1"/>
  <c r="Z37" i="4"/>
  <c r="AD19" i="3"/>
  <c r="AA10" i="1" s="1"/>
  <c r="AA18" i="1" s="1"/>
  <c r="Z10" i="1"/>
  <c r="Z18" i="1" s="1"/>
  <c r="AB31" i="4" l="1"/>
  <c r="AA37" i="4"/>
  <c r="AC31" i="4" l="1"/>
  <c r="AC37" i="4" s="1"/>
  <c r="AB37" i="4"/>
  <c r="D26" i="2" l="1"/>
  <c r="D44" i="2"/>
  <c r="K7" i="1"/>
  <c r="J21" i="3" s="1"/>
  <c r="E14" i="1"/>
  <c r="I15" i="1"/>
  <c r="H33" i="3" s="1"/>
  <c r="H38" i="3" s="1"/>
  <c r="D8" i="1"/>
  <c r="D16" i="1"/>
  <c r="E16" i="1" s="1"/>
  <c r="I7" i="1"/>
  <c r="H21" i="3" s="1"/>
  <c r="D43" i="2"/>
  <c r="D42" i="2"/>
  <c r="D41" i="2"/>
  <c r="E39" i="2"/>
  <c r="E42" i="2" s="1"/>
  <c r="D37" i="2"/>
  <c r="D36" i="2"/>
  <c r="D35" i="2"/>
  <c r="E33" i="2"/>
  <c r="F33" i="2" s="1"/>
  <c r="D31" i="2"/>
  <c r="D30" i="2"/>
  <c r="D29" i="2"/>
  <c r="E27" i="2"/>
  <c r="E30" i="2" s="1"/>
  <c r="D20" i="2"/>
  <c r="D19" i="2"/>
  <c r="D18" i="2"/>
  <c r="C17" i="2"/>
  <c r="C28" i="2" s="1"/>
  <c r="C34" i="2" s="1"/>
  <c r="C40" i="2" s="1"/>
  <c r="E16" i="2"/>
  <c r="E18" i="2" s="1"/>
  <c r="D16" i="2"/>
  <c r="C16" i="2"/>
  <c r="C27" i="2" s="1"/>
  <c r="C33" i="2" s="1"/>
  <c r="C39" i="2" s="1"/>
  <c r="D14" i="2"/>
  <c r="C14" i="2"/>
  <c r="C20" i="2" s="1"/>
  <c r="C31" i="2" s="1"/>
  <c r="C37" i="2" s="1"/>
  <c r="C43" i="2" s="1"/>
  <c r="D13" i="2"/>
  <c r="C13" i="2"/>
  <c r="C19" i="2" s="1"/>
  <c r="C30" i="2" s="1"/>
  <c r="C36" i="2" s="1"/>
  <c r="C42" i="2" s="1"/>
  <c r="D12" i="2"/>
  <c r="C12" i="2"/>
  <c r="C18" i="2" s="1"/>
  <c r="C29" i="2" s="1"/>
  <c r="C35" i="2" s="1"/>
  <c r="C41" i="2" s="1"/>
  <c r="E10" i="2"/>
  <c r="G8" i="2"/>
  <c r="G26" i="2" s="1"/>
  <c r="E8" i="2"/>
  <c r="F8" i="2" s="1"/>
  <c r="F26" i="2" s="1"/>
  <c r="D4" i="2"/>
  <c r="D2" i="2"/>
  <c r="D5" i="2" l="1"/>
  <c r="L44" i="5"/>
  <c r="E14" i="2"/>
  <c r="D27" i="4"/>
  <c r="D28" i="5"/>
  <c r="D34" i="5" s="1"/>
  <c r="E34" i="5" s="1"/>
  <c r="E26" i="2"/>
  <c r="J16" i="1"/>
  <c r="H16" i="1"/>
  <c r="E44" i="2"/>
  <c r="D21" i="2"/>
  <c r="E31" i="2"/>
  <c r="D22" i="2"/>
  <c r="E19" i="2"/>
  <c r="E12" i="2"/>
  <c r="E29" i="2"/>
  <c r="E21" i="2"/>
  <c r="E41" i="2"/>
  <c r="F27" i="2"/>
  <c r="E13" i="2"/>
  <c r="F10" i="2"/>
  <c r="E43" i="2"/>
  <c r="F39" i="2"/>
  <c r="K15" i="1"/>
  <c r="J33" i="3" s="1"/>
  <c r="J38" i="3" s="1"/>
  <c r="H7" i="1"/>
  <c r="E15" i="1"/>
  <c r="H15" i="1"/>
  <c r="E8" i="1"/>
  <c r="H8" i="2"/>
  <c r="H26" i="2" s="1"/>
  <c r="F37" i="2"/>
  <c r="F36" i="2"/>
  <c r="G33" i="2"/>
  <c r="F35" i="2"/>
  <c r="E35" i="2"/>
  <c r="E36" i="2"/>
  <c r="E37" i="2"/>
  <c r="E20" i="2"/>
  <c r="F16" i="2"/>
  <c r="H14" i="1"/>
  <c r="F14" i="1"/>
  <c r="E27" i="4" l="1"/>
  <c r="D33" i="4" s="1"/>
  <c r="E33" i="4" s="1"/>
  <c r="F33" i="4" s="1"/>
  <c r="G33" i="4" s="1"/>
  <c r="H33" i="4" s="1"/>
  <c r="I33" i="4" s="1"/>
  <c r="J33" i="4" s="1"/>
  <c r="K33" i="4" s="1"/>
  <c r="L33" i="4" s="1"/>
  <c r="M33" i="4" s="1"/>
  <c r="N33" i="4" s="1"/>
  <c r="O33" i="4" s="1"/>
  <c r="P33" i="4" s="1"/>
  <c r="Q33" i="4" s="1"/>
  <c r="R33" i="4" s="1"/>
  <c r="S33" i="4" s="1"/>
  <c r="T33" i="4" s="1"/>
  <c r="U33" i="4" s="1"/>
  <c r="V33" i="4" s="1"/>
  <c r="W33" i="4" s="1"/>
  <c r="X33" i="4" s="1"/>
  <c r="Y33" i="4" s="1"/>
  <c r="Z33" i="4" s="1"/>
  <c r="AA33" i="4" s="1"/>
  <c r="AB33" i="4" s="1"/>
  <c r="AC33" i="4" s="1"/>
  <c r="G33" i="3"/>
  <c r="H19" i="1"/>
  <c r="R19" i="1" s="1"/>
  <c r="G38" i="3"/>
  <c r="F22" i="3"/>
  <c r="F34" i="5"/>
  <c r="G10" i="2"/>
  <c r="H10" i="2" s="1"/>
  <c r="C42" i="5"/>
  <c r="D34" i="4"/>
  <c r="E34" i="4" s="1"/>
  <c r="F34" i="4" s="1"/>
  <c r="G34" i="4" s="1"/>
  <c r="H34" i="4" s="1"/>
  <c r="I34" i="4" s="1"/>
  <c r="J34" i="4" s="1"/>
  <c r="K34" i="4" s="1"/>
  <c r="L34" i="4" s="1"/>
  <c r="M34" i="4" s="1"/>
  <c r="N34" i="4" s="1"/>
  <c r="O34" i="4" s="1"/>
  <c r="P34" i="4" s="1"/>
  <c r="Q34" i="4" s="1"/>
  <c r="R34" i="4" s="1"/>
  <c r="S34" i="4" s="1"/>
  <c r="T34" i="4" s="1"/>
  <c r="U34" i="4" s="1"/>
  <c r="V34" i="4" s="1"/>
  <c r="W34" i="4" s="1"/>
  <c r="X34" i="4" s="1"/>
  <c r="Y34" i="4" s="1"/>
  <c r="Z34" i="4" s="1"/>
  <c r="AA34" i="4" s="1"/>
  <c r="AB34" i="4" s="1"/>
  <c r="AC34" i="4" s="1"/>
  <c r="J7" i="1"/>
  <c r="F7" i="1" s="1"/>
  <c r="J8" i="1"/>
  <c r="H8" i="1"/>
  <c r="F8" i="1" s="1"/>
  <c r="J15" i="1"/>
  <c r="F30" i="2"/>
  <c r="F44" i="2"/>
  <c r="F13" i="2"/>
  <c r="F21" i="2"/>
  <c r="E22" i="2"/>
  <c r="F31" i="2"/>
  <c r="G27" i="2"/>
  <c r="G29" i="2" s="1"/>
  <c r="F29" i="2"/>
  <c r="F42" i="2"/>
  <c r="F43" i="2"/>
  <c r="G39" i="2"/>
  <c r="F41" i="2"/>
  <c r="F14" i="2"/>
  <c r="F12" i="2"/>
  <c r="I8" i="2"/>
  <c r="I26" i="2" s="1"/>
  <c r="G37" i="2"/>
  <c r="H33" i="2"/>
  <c r="G36" i="2"/>
  <c r="G35" i="2"/>
  <c r="F20" i="2"/>
  <c r="F18" i="2"/>
  <c r="F19" i="2"/>
  <c r="G16" i="2"/>
  <c r="I6" i="1"/>
  <c r="I14" i="1" s="1"/>
  <c r="E7" i="1"/>
  <c r="F11" i="3" s="1"/>
  <c r="F45" i="3" s="1"/>
  <c r="G14" i="2" l="1"/>
  <c r="I19" i="1"/>
  <c r="J19" i="1" s="1"/>
  <c r="E20" i="1"/>
  <c r="H27" i="2"/>
  <c r="H31" i="2" s="1"/>
  <c r="G23" i="3"/>
  <c r="L12" i="3"/>
  <c r="I33" i="3"/>
  <c r="C44" i="5"/>
  <c r="C48" i="5"/>
  <c r="F23" i="3"/>
  <c r="F26" i="3" s="1"/>
  <c r="G34" i="5"/>
  <c r="G22" i="3"/>
  <c r="G13" i="2"/>
  <c r="G12" i="2"/>
  <c r="H11" i="1"/>
  <c r="S19" i="1"/>
  <c r="G21" i="3"/>
  <c r="I21" i="3"/>
  <c r="G30" i="2"/>
  <c r="G44" i="2"/>
  <c r="G31" i="2"/>
  <c r="G21" i="2"/>
  <c r="H23" i="3" s="1"/>
  <c r="F22" i="2"/>
  <c r="H30" i="2"/>
  <c r="I27" i="2"/>
  <c r="H29" i="2"/>
  <c r="G42" i="2"/>
  <c r="G43" i="2"/>
  <c r="H39" i="2"/>
  <c r="G41" i="2"/>
  <c r="J6" i="1"/>
  <c r="J8" i="2"/>
  <c r="J26" i="2" s="1"/>
  <c r="G20" i="2"/>
  <c r="H16" i="2"/>
  <c r="G18" i="2"/>
  <c r="G19" i="2"/>
  <c r="I10" i="2"/>
  <c r="H13" i="2"/>
  <c r="H14" i="2"/>
  <c r="H12" i="2"/>
  <c r="I33" i="2"/>
  <c r="H36" i="2"/>
  <c r="H35" i="2"/>
  <c r="H37" i="2"/>
  <c r="H44" i="2" l="1"/>
  <c r="C46" i="5"/>
  <c r="E28" i="5" s="1"/>
  <c r="D33" i="5" s="1"/>
  <c r="E33" i="5" s="1"/>
  <c r="F33" i="5" s="1"/>
  <c r="G33" i="5" s="1"/>
  <c r="H33" i="5" s="1"/>
  <c r="I33" i="5" s="1"/>
  <c r="J33" i="5" s="1"/>
  <c r="K33" i="5" s="1"/>
  <c r="L45" i="5"/>
  <c r="L46" i="5" s="1"/>
  <c r="I38" i="3"/>
  <c r="D33" i="3"/>
  <c r="L33" i="5"/>
  <c r="H22" i="3"/>
  <c r="H34" i="5"/>
  <c r="G26" i="3"/>
  <c r="D21" i="3"/>
  <c r="I11" i="1"/>
  <c r="R11" i="1"/>
  <c r="K19" i="1"/>
  <c r="T19" i="1"/>
  <c r="G22" i="2"/>
  <c r="H21" i="2"/>
  <c r="I23" i="3" s="1"/>
  <c r="I29" i="2"/>
  <c r="I30" i="2"/>
  <c r="J27" i="2"/>
  <c r="I31" i="2"/>
  <c r="H41" i="2"/>
  <c r="H43" i="2"/>
  <c r="I39" i="2"/>
  <c r="I44" i="2" s="1"/>
  <c r="H42" i="2"/>
  <c r="K6" i="1"/>
  <c r="K14" i="1" s="1"/>
  <c r="J14" i="1"/>
  <c r="K8" i="2"/>
  <c r="K26" i="2" s="1"/>
  <c r="I12" i="2"/>
  <c r="J10" i="2"/>
  <c r="I13" i="2"/>
  <c r="I14" i="2"/>
  <c r="I36" i="2"/>
  <c r="J33" i="2"/>
  <c r="I37" i="2"/>
  <c r="I35" i="2"/>
  <c r="I16" i="2"/>
  <c r="H20" i="2"/>
  <c r="H18" i="2"/>
  <c r="H19" i="2"/>
  <c r="M33" i="5" l="1"/>
  <c r="I34" i="5"/>
  <c r="I22" i="3"/>
  <c r="H26" i="3"/>
  <c r="L19" i="1"/>
  <c r="U19" i="1"/>
  <c r="S11" i="1"/>
  <c r="J11" i="1"/>
  <c r="H22" i="2"/>
  <c r="I21" i="2"/>
  <c r="J23" i="3" s="1"/>
  <c r="I43" i="2"/>
  <c r="I41" i="2"/>
  <c r="I42" i="2"/>
  <c r="J39" i="2"/>
  <c r="J44" i="2" s="1"/>
  <c r="J30" i="2"/>
  <c r="K27" i="2"/>
  <c r="J31" i="2"/>
  <c r="J29" i="2"/>
  <c r="L8" i="2"/>
  <c r="L26" i="2" s="1"/>
  <c r="J36" i="2"/>
  <c r="K33" i="2"/>
  <c r="J37" i="2"/>
  <c r="J35" i="2"/>
  <c r="I19" i="2"/>
  <c r="I20" i="2"/>
  <c r="I18" i="2"/>
  <c r="J16" i="2"/>
  <c r="J21" i="2" s="1"/>
  <c r="K23" i="3" s="1"/>
  <c r="J12" i="2"/>
  <c r="J13" i="2"/>
  <c r="J14" i="2"/>
  <c r="K10" i="2"/>
  <c r="K35" i="3" l="1"/>
  <c r="K34" i="3"/>
  <c r="N33" i="5"/>
  <c r="J34" i="5"/>
  <c r="J22" i="3"/>
  <c r="I22" i="2"/>
  <c r="I26" i="3"/>
  <c r="K11" i="1"/>
  <c r="T11" i="1"/>
  <c r="M19" i="1"/>
  <c r="V19" i="1"/>
  <c r="K31" i="2"/>
  <c r="L27" i="2"/>
  <c r="K29" i="2"/>
  <c r="K30" i="2"/>
  <c r="J41" i="2"/>
  <c r="K39" i="2"/>
  <c r="K44" i="2" s="1"/>
  <c r="J43" i="2"/>
  <c r="J42" i="2"/>
  <c r="L33" i="2"/>
  <c r="K37" i="2"/>
  <c r="K35" i="2"/>
  <c r="K36" i="2"/>
  <c r="J19" i="2"/>
  <c r="J20" i="2"/>
  <c r="J18" i="2"/>
  <c r="K16" i="2"/>
  <c r="K14" i="2"/>
  <c r="L10" i="2"/>
  <c r="K13" i="2"/>
  <c r="K12" i="2"/>
  <c r="M8" i="2"/>
  <c r="M26" i="2" s="1"/>
  <c r="L35" i="3" l="1"/>
  <c r="L34" i="3"/>
  <c r="O33" i="5"/>
  <c r="K34" i="5"/>
  <c r="K22" i="3"/>
  <c r="K26" i="3" s="1"/>
  <c r="K38" i="3"/>
  <c r="J26" i="3"/>
  <c r="J45" i="2"/>
  <c r="N19" i="1"/>
  <c r="W19" i="1"/>
  <c r="L11" i="1"/>
  <c r="U11" i="1"/>
  <c r="J22" i="2"/>
  <c r="K21" i="2"/>
  <c r="L23" i="3" s="1"/>
  <c r="K41" i="2"/>
  <c r="K42" i="2"/>
  <c r="L39" i="2"/>
  <c r="L44" i="2" s="1"/>
  <c r="K43" i="2"/>
  <c r="L30" i="2"/>
  <c r="L31" i="2"/>
  <c r="M27" i="2"/>
  <c r="L29" i="2"/>
  <c r="L35" i="2"/>
  <c r="L37" i="2"/>
  <c r="L36" i="2"/>
  <c r="M33" i="2"/>
  <c r="K19" i="2"/>
  <c r="K20" i="2"/>
  <c r="K18" i="2"/>
  <c r="L16" i="2"/>
  <c r="L21" i="2" s="1"/>
  <c r="M23" i="3" s="1"/>
  <c r="L14" i="2"/>
  <c r="M10" i="2"/>
  <c r="L12" i="2"/>
  <c r="L13" i="2"/>
  <c r="N8" i="2"/>
  <c r="N26" i="2" s="1"/>
  <c r="M35" i="3" l="1"/>
  <c r="M34" i="3"/>
  <c r="L38" i="3"/>
  <c r="P33" i="5"/>
  <c r="L34" i="5"/>
  <c r="L22" i="3"/>
  <c r="M38" i="3"/>
  <c r="K45" i="2"/>
  <c r="K22" i="2"/>
  <c r="M11" i="1"/>
  <c r="V11" i="1"/>
  <c r="O19" i="1"/>
  <c r="X19" i="1"/>
  <c r="M39" i="2"/>
  <c r="M44" i="2" s="1"/>
  <c r="L43" i="2"/>
  <c r="L41" i="2"/>
  <c r="L42" i="2"/>
  <c r="M31" i="2"/>
  <c r="M29" i="2"/>
  <c r="M30" i="2"/>
  <c r="N27" i="2"/>
  <c r="O8" i="2"/>
  <c r="O26" i="2" s="1"/>
  <c r="M35" i="2"/>
  <c r="M37" i="2"/>
  <c r="N33" i="2"/>
  <c r="M36" i="2"/>
  <c r="M14" i="2"/>
  <c r="M12" i="2"/>
  <c r="M13" i="2"/>
  <c r="N10" i="2"/>
  <c r="L18" i="2"/>
  <c r="L19" i="2"/>
  <c r="M16" i="2"/>
  <c r="L20" i="2"/>
  <c r="N35" i="3" l="1"/>
  <c r="N34" i="3"/>
  <c r="Q33" i="5"/>
  <c r="M34" i="5"/>
  <c r="M22" i="3"/>
  <c r="M26" i="3" s="1"/>
  <c r="L26" i="3"/>
  <c r="L45" i="2"/>
  <c r="P19" i="1"/>
  <c r="Y19" i="1"/>
  <c r="N11" i="1"/>
  <c r="W11" i="1"/>
  <c r="L22" i="2"/>
  <c r="M21" i="2"/>
  <c r="N23" i="3" s="1"/>
  <c r="N29" i="2"/>
  <c r="N30" i="2"/>
  <c r="O27" i="2"/>
  <c r="N31" i="2"/>
  <c r="N39" i="2"/>
  <c r="N44" i="2" s="1"/>
  <c r="M41" i="2"/>
  <c r="M42" i="2"/>
  <c r="M43" i="2"/>
  <c r="M18" i="2"/>
  <c r="M19" i="2"/>
  <c r="N16" i="2"/>
  <c r="N21" i="2" s="1"/>
  <c r="O23" i="3" s="1"/>
  <c r="M20" i="2"/>
  <c r="N13" i="2"/>
  <c r="N12" i="2"/>
  <c r="O10" i="2"/>
  <c r="N14" i="2"/>
  <c r="N37" i="2"/>
  <c r="N35" i="2"/>
  <c r="O33" i="2"/>
  <c r="N36" i="2"/>
  <c r="P8" i="2"/>
  <c r="P26" i="2" s="1"/>
  <c r="O35" i="3" l="1"/>
  <c r="O34" i="3"/>
  <c r="R33" i="5"/>
  <c r="N34" i="5"/>
  <c r="N22" i="3"/>
  <c r="N38" i="3"/>
  <c r="O38" i="3"/>
  <c r="M45" i="2"/>
  <c r="O11" i="1"/>
  <c r="X11" i="1"/>
  <c r="Q19" i="1"/>
  <c r="AA19" i="1" s="1"/>
  <c r="AD36" i="3" s="1"/>
  <c r="D36" i="3" s="1"/>
  <c r="Z19" i="1"/>
  <c r="M22" i="2"/>
  <c r="N43" i="2"/>
  <c r="N41" i="2"/>
  <c r="N45" i="2" s="1"/>
  <c r="O39" i="2"/>
  <c r="O44" i="2" s="1"/>
  <c r="N42" i="2"/>
  <c r="O29" i="2"/>
  <c r="O31" i="2"/>
  <c r="O30" i="2"/>
  <c r="P27" i="2"/>
  <c r="O37" i="2"/>
  <c r="P33" i="2"/>
  <c r="O35" i="2"/>
  <c r="O36" i="2"/>
  <c r="O13" i="2"/>
  <c r="O12" i="2"/>
  <c r="O14" i="2"/>
  <c r="P10" i="2"/>
  <c r="N20" i="2"/>
  <c r="N19" i="2"/>
  <c r="O16" i="2"/>
  <c r="N18" i="2"/>
  <c r="Q8" i="2"/>
  <c r="Q26" i="2" s="1"/>
  <c r="P35" i="3" l="1"/>
  <c r="P34" i="3"/>
  <c r="P38" i="3" s="1"/>
  <c r="S33" i="5"/>
  <c r="O34" i="5"/>
  <c r="O22" i="3"/>
  <c r="O26" i="3" s="1"/>
  <c r="N26" i="3"/>
  <c r="P11" i="1"/>
  <c r="Y11" i="1"/>
  <c r="O21" i="2"/>
  <c r="P23" i="3" s="1"/>
  <c r="N22" i="2"/>
  <c r="O41" i="2"/>
  <c r="O43" i="2"/>
  <c r="O42" i="2"/>
  <c r="P39" i="2"/>
  <c r="P44" i="2" s="1"/>
  <c r="P30" i="2"/>
  <c r="Q27" i="2"/>
  <c r="P29" i="2"/>
  <c r="P31" i="2"/>
  <c r="O20" i="2"/>
  <c r="P16" i="2"/>
  <c r="P21" i="2" s="1"/>
  <c r="Q23" i="3" s="1"/>
  <c r="O19" i="2"/>
  <c r="O18" i="2"/>
  <c r="R8" i="2"/>
  <c r="R26" i="2" s="1"/>
  <c r="Q33" i="2"/>
  <c r="P36" i="2"/>
  <c r="P35" i="2"/>
  <c r="P37" i="2"/>
  <c r="Q10" i="2"/>
  <c r="P12" i="2"/>
  <c r="P14" i="2"/>
  <c r="P13" i="2"/>
  <c r="Q35" i="3" l="1"/>
  <c r="Q34" i="3"/>
  <c r="T33" i="5"/>
  <c r="P34" i="5"/>
  <c r="P22" i="3"/>
  <c r="O45" i="2"/>
  <c r="Z11" i="1"/>
  <c r="Q11" i="1"/>
  <c r="AA11" i="1" s="1"/>
  <c r="AD24" i="3" s="1"/>
  <c r="D24" i="3" s="1"/>
  <c r="F28" i="3" s="1"/>
  <c r="O22" i="2"/>
  <c r="Q31" i="2"/>
  <c r="Q29" i="2"/>
  <c r="Q30" i="2"/>
  <c r="R27" i="2"/>
  <c r="P43" i="2"/>
  <c r="Q39" i="2"/>
  <c r="Q44" i="2" s="1"/>
  <c r="P41" i="2"/>
  <c r="P42" i="2"/>
  <c r="Q36" i="2"/>
  <c r="Q37" i="2"/>
  <c r="Q35" i="2"/>
  <c r="R33" i="2"/>
  <c r="S8" i="2"/>
  <c r="S26" i="2" s="1"/>
  <c r="Q12" i="2"/>
  <c r="R10" i="2"/>
  <c r="Q13" i="2"/>
  <c r="Q14" i="2"/>
  <c r="Q16" i="2"/>
  <c r="P20" i="2"/>
  <c r="P18" i="2"/>
  <c r="P19" i="2"/>
  <c r="R35" i="3" l="1"/>
  <c r="R34" i="3"/>
  <c r="U33" i="5"/>
  <c r="Q34" i="5"/>
  <c r="Q22" i="3"/>
  <c r="Q26" i="3" s="1"/>
  <c r="P26" i="3"/>
  <c r="R38" i="3"/>
  <c r="P45" i="2"/>
  <c r="Q38" i="3"/>
  <c r="P22" i="2"/>
  <c r="Q21" i="2"/>
  <c r="R23" i="3" s="1"/>
  <c r="R39" i="2"/>
  <c r="R44" i="2" s="1"/>
  <c r="Q43" i="2"/>
  <c r="Q41" i="2"/>
  <c r="Q42" i="2"/>
  <c r="R30" i="2"/>
  <c r="S27" i="2"/>
  <c r="R31" i="2"/>
  <c r="R29" i="2"/>
  <c r="T8" i="2"/>
  <c r="T26" i="2" s="1"/>
  <c r="R36" i="2"/>
  <c r="S33" i="2"/>
  <c r="R35" i="2"/>
  <c r="R37" i="2"/>
  <c r="R12" i="2"/>
  <c r="S10" i="2"/>
  <c r="R13" i="2"/>
  <c r="R14" i="2"/>
  <c r="Q19" i="2"/>
  <c r="R16" i="2"/>
  <c r="Q20" i="2"/>
  <c r="Q18" i="2"/>
  <c r="S35" i="3" l="1"/>
  <c r="S34" i="3"/>
  <c r="V33" i="5"/>
  <c r="R34" i="5"/>
  <c r="R22" i="3"/>
  <c r="R26" i="3" s="1"/>
  <c r="S38" i="3"/>
  <c r="Q45" i="2"/>
  <c r="R21" i="2"/>
  <c r="S23" i="3" s="1"/>
  <c r="Q22" i="2"/>
  <c r="R41" i="2"/>
  <c r="S39" i="2"/>
  <c r="S44" i="2" s="1"/>
  <c r="R42" i="2"/>
  <c r="R43" i="2"/>
  <c r="S31" i="2"/>
  <c r="T27" i="2"/>
  <c r="S30" i="2"/>
  <c r="S29" i="2"/>
  <c r="R19" i="2"/>
  <c r="R20" i="2"/>
  <c r="R18" i="2"/>
  <c r="S16" i="2"/>
  <c r="S14" i="2"/>
  <c r="T10" i="2"/>
  <c r="S13" i="2"/>
  <c r="S12" i="2"/>
  <c r="S36" i="2"/>
  <c r="T33" i="2"/>
  <c r="S35" i="2"/>
  <c r="S37" i="2"/>
  <c r="U8" i="2"/>
  <c r="U26" i="2" s="1"/>
  <c r="T35" i="3" l="1"/>
  <c r="T34" i="3"/>
  <c r="W33" i="5"/>
  <c r="S34" i="5"/>
  <c r="S22" i="3"/>
  <c r="R45" i="2"/>
  <c r="T38" i="3"/>
  <c r="S21" i="2"/>
  <c r="T23" i="3" s="1"/>
  <c r="R22" i="2"/>
  <c r="T30" i="2"/>
  <c r="T29" i="2"/>
  <c r="T31" i="2"/>
  <c r="U27" i="2"/>
  <c r="S41" i="2"/>
  <c r="S43" i="2"/>
  <c r="T39" i="2"/>
  <c r="T44" i="2" s="1"/>
  <c r="S42" i="2"/>
  <c r="V8" i="2"/>
  <c r="V26" i="2" s="1"/>
  <c r="S20" i="2"/>
  <c r="S18" i="2"/>
  <c r="T16" i="2"/>
  <c r="T21" i="2" s="1"/>
  <c r="U23" i="3" s="1"/>
  <c r="S19" i="2"/>
  <c r="T35" i="2"/>
  <c r="T36" i="2"/>
  <c r="U33" i="2"/>
  <c r="T37" i="2"/>
  <c r="T14" i="2"/>
  <c r="U10" i="2"/>
  <c r="T13" i="2"/>
  <c r="T12" i="2"/>
  <c r="U35" i="3" l="1"/>
  <c r="U34" i="3"/>
  <c r="U38" i="3" s="1"/>
  <c r="X33" i="5"/>
  <c r="T34" i="5"/>
  <c r="T22" i="3"/>
  <c r="S26" i="3"/>
  <c r="T26" i="3"/>
  <c r="S45" i="2"/>
  <c r="S22" i="2"/>
  <c r="U39" i="2"/>
  <c r="U44" i="2" s="1"/>
  <c r="T43" i="2"/>
  <c r="T41" i="2"/>
  <c r="T42" i="2"/>
  <c r="U30" i="2"/>
  <c r="U31" i="2"/>
  <c r="U29" i="2"/>
  <c r="V27" i="2"/>
  <c r="U35" i="2"/>
  <c r="V33" i="2"/>
  <c r="U37" i="2"/>
  <c r="U36" i="2"/>
  <c r="W8" i="2"/>
  <c r="W26" i="2" s="1"/>
  <c r="V10" i="2"/>
  <c r="U14" i="2"/>
  <c r="U12" i="2"/>
  <c r="U13" i="2"/>
  <c r="T18" i="2"/>
  <c r="U16" i="2"/>
  <c r="U21" i="2" s="1"/>
  <c r="V23" i="3" s="1"/>
  <c r="T20" i="2"/>
  <c r="T19" i="2"/>
  <c r="V35" i="3" l="1"/>
  <c r="V34" i="3"/>
  <c r="Y33" i="5"/>
  <c r="U34" i="5"/>
  <c r="U22" i="3"/>
  <c r="U26" i="3" s="1"/>
  <c r="T45" i="2"/>
  <c r="T22" i="2"/>
  <c r="V30" i="2"/>
  <c r="W27" i="2"/>
  <c r="V31" i="2"/>
  <c r="V29" i="2"/>
  <c r="U43" i="2"/>
  <c r="U41" i="2"/>
  <c r="U42" i="2"/>
  <c r="V39" i="2"/>
  <c r="V44" i="2" s="1"/>
  <c r="X8" i="2"/>
  <c r="X26" i="2" s="1"/>
  <c r="U18" i="2"/>
  <c r="U19" i="2"/>
  <c r="U20" i="2"/>
  <c r="V16" i="2"/>
  <c r="V37" i="2"/>
  <c r="V35" i="2"/>
  <c r="V36" i="2"/>
  <c r="W33" i="2"/>
  <c r="V13" i="2"/>
  <c r="V14" i="2"/>
  <c r="V12" i="2"/>
  <c r="W10" i="2"/>
  <c r="W35" i="3" l="1"/>
  <c r="W34" i="3"/>
  <c r="W38" i="3" s="1"/>
  <c r="V38" i="3"/>
  <c r="Z33" i="5"/>
  <c r="V34" i="5"/>
  <c r="V22" i="3"/>
  <c r="V26" i="3" s="1"/>
  <c r="U45" i="2"/>
  <c r="U22" i="2"/>
  <c r="V21" i="2"/>
  <c r="W23" i="3" s="1"/>
  <c r="W30" i="2"/>
  <c r="X27" i="2"/>
  <c r="W29" i="2"/>
  <c r="W31" i="2"/>
  <c r="V42" i="2"/>
  <c r="W39" i="2"/>
  <c r="W44" i="2" s="1"/>
  <c r="V43" i="2"/>
  <c r="V41" i="2"/>
  <c r="V20" i="2"/>
  <c r="V19" i="2"/>
  <c r="W16" i="2"/>
  <c r="W21" i="2" s="1"/>
  <c r="X23" i="3" s="1"/>
  <c r="V18" i="2"/>
  <c r="W13" i="2"/>
  <c r="W14" i="2"/>
  <c r="W12" i="2"/>
  <c r="X10" i="2"/>
  <c r="Y8" i="2"/>
  <c r="Y26" i="2" s="1"/>
  <c r="W37" i="2"/>
  <c r="X33" i="2"/>
  <c r="W35" i="2"/>
  <c r="W36" i="2"/>
  <c r="V45" i="2" l="1"/>
  <c r="X35" i="3"/>
  <c r="X34" i="3"/>
  <c r="AA33" i="5"/>
  <c r="W34" i="5"/>
  <c r="W22" i="3"/>
  <c r="X38" i="3"/>
  <c r="V22" i="2"/>
  <c r="W42" i="2"/>
  <c r="X39" i="2"/>
  <c r="X44" i="2" s="1"/>
  <c r="W41" i="2"/>
  <c r="W43" i="2"/>
  <c r="X29" i="2"/>
  <c r="X31" i="2"/>
  <c r="X30" i="2"/>
  <c r="Y27" i="2"/>
  <c r="Y33" i="2"/>
  <c r="X37" i="2"/>
  <c r="X35" i="2"/>
  <c r="X36" i="2"/>
  <c r="Z8" i="2"/>
  <c r="Z26" i="2" s="1"/>
  <c r="W20" i="2"/>
  <c r="X16" i="2"/>
  <c r="X21" i="2" s="1"/>
  <c r="Y23" i="3" s="1"/>
  <c r="W19" i="2"/>
  <c r="W18" i="2"/>
  <c r="X12" i="2"/>
  <c r="X13" i="2"/>
  <c r="X14" i="2"/>
  <c r="Y10" i="2"/>
  <c r="Y35" i="3" l="1"/>
  <c r="Y34" i="3"/>
  <c r="Y38" i="3" s="1"/>
  <c r="W22" i="2"/>
  <c r="AB33" i="5"/>
  <c r="X34" i="5"/>
  <c r="X22" i="3"/>
  <c r="X26" i="3" s="1"/>
  <c r="W26" i="3"/>
  <c r="W45" i="2"/>
  <c r="X42" i="2"/>
  <c r="X43" i="2"/>
  <c r="X41" i="2"/>
  <c r="X45" i="2" s="1"/>
  <c r="Y39" i="2"/>
  <c r="Y44" i="2" s="1"/>
  <c r="Z27" i="2"/>
  <c r="Y30" i="2"/>
  <c r="Y31" i="2"/>
  <c r="Y29" i="2"/>
  <c r="Y12" i="2"/>
  <c r="Y14" i="2"/>
  <c r="Y13" i="2"/>
  <c r="Z10" i="2"/>
  <c r="Y36" i="2"/>
  <c r="Y37" i="2"/>
  <c r="Y35" i="2"/>
  <c r="Z33" i="2"/>
  <c r="Y16" i="2"/>
  <c r="X19" i="2"/>
  <c r="X18" i="2"/>
  <c r="X20" i="2"/>
  <c r="AA8" i="2"/>
  <c r="AA26" i="2" s="1"/>
  <c r="Z35" i="3" l="1"/>
  <c r="Z34" i="3"/>
  <c r="AC33" i="5"/>
  <c r="Y34" i="5"/>
  <c r="Y22" i="3"/>
  <c r="Y26" i="3" s="1"/>
  <c r="Z38" i="3"/>
  <c r="X22" i="2"/>
  <c r="Y21" i="2"/>
  <c r="Z23" i="3" s="1"/>
  <c r="Z30" i="2"/>
  <c r="Z29" i="2"/>
  <c r="Z31" i="2"/>
  <c r="AA27" i="2"/>
  <c r="Y41" i="2"/>
  <c r="Y42" i="2"/>
  <c r="Z39" i="2"/>
  <c r="Z44" i="2" s="1"/>
  <c r="Y43" i="2"/>
  <c r="Z36" i="2"/>
  <c r="Z35" i="2"/>
  <c r="Z37" i="2"/>
  <c r="AA33" i="2"/>
  <c r="AB8" i="2"/>
  <c r="AB26" i="2" s="1"/>
  <c r="Y19" i="2"/>
  <c r="Z16" i="2"/>
  <c r="Z21" i="2" s="1"/>
  <c r="AA23" i="3" s="1"/>
  <c r="Y20" i="2"/>
  <c r="Y18" i="2"/>
  <c r="Z12" i="2"/>
  <c r="AA10" i="2"/>
  <c r="Z14" i="2"/>
  <c r="Z13" i="2"/>
  <c r="AA35" i="3" l="1"/>
  <c r="AA34" i="3"/>
  <c r="Z34" i="5"/>
  <c r="Z22" i="3"/>
  <c r="Y45" i="2"/>
  <c r="AA38" i="3"/>
  <c r="Y22" i="2"/>
  <c r="Z43" i="2"/>
  <c r="Z42" i="2"/>
  <c r="AA39" i="2"/>
  <c r="AA44" i="2" s="1"/>
  <c r="Z41" i="2"/>
  <c r="AB27" i="2"/>
  <c r="AA29" i="2"/>
  <c r="AA31" i="2"/>
  <c r="AA30" i="2"/>
  <c r="AA36" i="2"/>
  <c r="AA37" i="2"/>
  <c r="AA35" i="2"/>
  <c r="AB33" i="2"/>
  <c r="AA14" i="2"/>
  <c r="AB10" i="2"/>
  <c r="AA12" i="2"/>
  <c r="AA13" i="2"/>
  <c r="AC8" i="2"/>
  <c r="AC26" i="2" s="1"/>
  <c r="Z19" i="2"/>
  <c r="AA16" i="2"/>
  <c r="Z20" i="2"/>
  <c r="Z18" i="2"/>
  <c r="AB35" i="3" l="1"/>
  <c r="AB34" i="3"/>
  <c r="AA34" i="5"/>
  <c r="AA22" i="3"/>
  <c r="AA26" i="3" s="1"/>
  <c r="Z26" i="3"/>
  <c r="Z45" i="2"/>
  <c r="AB38" i="3"/>
  <c r="Z22" i="2"/>
  <c r="AA21" i="2"/>
  <c r="AB23" i="3" s="1"/>
  <c r="AC27" i="2"/>
  <c r="AB29" i="2"/>
  <c r="AB31" i="2"/>
  <c r="AB30" i="2"/>
  <c r="AA43" i="2"/>
  <c r="AA42" i="2"/>
  <c r="AA41" i="2"/>
  <c r="AA45" i="2" s="1"/>
  <c r="AB39" i="2"/>
  <c r="AB44" i="2" s="1"/>
  <c r="AB35" i="2"/>
  <c r="AB36" i="2"/>
  <c r="AC33" i="2"/>
  <c r="AB37" i="2"/>
  <c r="AB14" i="2"/>
  <c r="AC10" i="2"/>
  <c r="AB13" i="2"/>
  <c r="AB12" i="2"/>
  <c r="AB16" i="2"/>
  <c r="AA20" i="2"/>
  <c r="AA18" i="2"/>
  <c r="AA19" i="2"/>
  <c r="AC35" i="3" l="1"/>
  <c r="AC34" i="3"/>
  <c r="AB34" i="5"/>
  <c r="AB22" i="3"/>
  <c r="AB26" i="3" s="1"/>
  <c r="AC38" i="3"/>
  <c r="AB21" i="2"/>
  <c r="AC23" i="3" s="1"/>
  <c r="AA22" i="2"/>
  <c r="AC39" i="2"/>
  <c r="AC44" i="2" s="1"/>
  <c r="AB43" i="2"/>
  <c r="AB42" i="2"/>
  <c r="AB41" i="2"/>
  <c r="AC31" i="2"/>
  <c r="AC29" i="2"/>
  <c r="AC30" i="2"/>
  <c r="AC35" i="2"/>
  <c r="AC36" i="2"/>
  <c r="AC37" i="2"/>
  <c r="AB18" i="2"/>
  <c r="AB20" i="2"/>
  <c r="AB19" i="2"/>
  <c r="AC16" i="2"/>
  <c r="AC21" i="2" s="1"/>
  <c r="AD23" i="3" s="1"/>
  <c r="D23" i="3" s="1"/>
  <c r="AC13" i="2"/>
  <c r="AC14" i="2"/>
  <c r="AC12" i="2"/>
  <c r="AD35" i="3" l="1"/>
  <c r="D35" i="3" s="1"/>
  <c r="L13" i="3" s="1"/>
  <c r="AD34" i="3"/>
  <c r="D34" i="3" s="1"/>
  <c r="L14" i="3" s="1"/>
  <c r="AC34" i="5"/>
  <c r="AD22" i="3" s="1"/>
  <c r="AC22" i="3"/>
  <c r="AC26" i="3" s="1"/>
  <c r="AB45" i="2"/>
  <c r="AB22" i="2"/>
  <c r="AC43" i="2"/>
  <c r="AC42" i="2"/>
  <c r="AC41" i="2"/>
  <c r="AC18" i="2"/>
  <c r="AC20" i="2"/>
  <c r="AC19" i="2"/>
  <c r="L15" i="3" l="1"/>
  <c r="L16" i="3" s="1"/>
  <c r="D22" i="3"/>
  <c r="F14" i="3" s="1"/>
  <c r="F13" i="3"/>
  <c r="AD26" i="3"/>
  <c r="D27" i="3" s="1"/>
  <c r="AD38" i="3"/>
  <c r="D39" i="3" s="1"/>
  <c r="AC45" i="2"/>
  <c r="AC22" i="2"/>
  <c r="M16" i="3" l="1"/>
  <c r="M11" i="3"/>
  <c r="L46" i="3" s="1"/>
  <c r="G41" i="3"/>
  <c r="D38" i="3"/>
  <c r="F15" i="3"/>
  <c r="D26" i="3"/>
  <c r="D28" i="3" s="1"/>
  <c r="F12" i="3"/>
  <c r="L47" i="3" l="1"/>
  <c r="L49" i="3" s="1"/>
  <c r="L50" i="3"/>
  <c r="L48" i="3"/>
  <c r="F16" i="3"/>
  <c r="G16" i="3" l="1"/>
  <c r="G11" i="3"/>
  <c r="F46" i="3" s="1"/>
  <c r="F47" i="3" s="1"/>
  <c r="F49" i="3" l="1"/>
  <c r="F48" i="3"/>
  <c r="F50" i="3"/>
  <c r="G52" i="3" s="1"/>
</calcChain>
</file>

<file path=xl/comments1.xml><?xml version="1.0" encoding="utf-8"?>
<comments xmlns="http://schemas.openxmlformats.org/spreadsheetml/2006/main">
  <authors>
    <author>Maria Tchakarova</author>
  </authors>
  <commentList>
    <comment ref="D7" authorId="0">
      <text>
        <r>
          <rPr>
            <b/>
            <sz val="9"/>
            <color indexed="81"/>
            <rFont val="Tahoma"/>
            <family val="2"/>
            <charset val="204"/>
          </rPr>
          <t>Maria Tchakarova:</t>
        </r>
        <r>
          <rPr>
            <sz val="9"/>
            <color indexed="81"/>
            <rFont val="Tahoma"/>
            <family val="2"/>
            <charset val="204"/>
          </rPr>
          <t xml:space="preserve">
разпределението на плащанията е по договори за СПРЕАЗ и за ППС, но общата стойност е по  ПП и АРП</t>
        </r>
      </text>
    </comment>
  </commentList>
</comments>
</file>

<file path=xl/sharedStrings.xml><?xml version="1.0" encoding="utf-8"?>
<sst xmlns="http://schemas.openxmlformats.org/spreadsheetml/2006/main" count="193" uniqueCount="145">
  <si>
    <t>Допустими разходи по ОРГО</t>
  </si>
  <si>
    <t>Вид оборудване</t>
  </si>
  <si>
    <t>Количество</t>
  </si>
  <si>
    <t>Единична цена без ДДС (лв)</t>
  </si>
  <si>
    <t>СПРЕАЗ</t>
  </si>
  <si>
    <t>Лихвен % за дисконтиране на помощта</t>
  </si>
  <si>
    <t>https://www.bnb.bg/Statistics/StBIRAndIndices/StBIBaseInterestRate/index.htm</t>
  </si>
  <si>
    <t>Преизчисления по чл.7, ал.3 от ОРГО</t>
  </si>
  <si>
    <t>дисконтирана стойност на помощта</t>
  </si>
  <si>
    <t>Индикатори по пристанища</t>
  </si>
  <si>
    <t>Бургас</t>
  </si>
  <si>
    <t>брой кораби</t>
  </si>
  <si>
    <t>Варна</t>
  </si>
  <si>
    <t>Русе</t>
  </si>
  <si>
    <t>Лом</t>
  </si>
  <si>
    <t>Видин</t>
  </si>
  <si>
    <t>ППС</t>
  </si>
  <si>
    <t>Обща стойност без ДДС (лв)</t>
  </si>
  <si>
    <t>Морски пристанища- инвестиции по ОРГО общо</t>
  </si>
  <si>
    <t>Речни пристанища- инвестиции по ОРГО общо</t>
  </si>
  <si>
    <r>
      <t>количества отпадъци в м</t>
    </r>
    <r>
      <rPr>
        <sz val="11"/>
        <color theme="1"/>
        <rFont val="Calibri"/>
        <family val="2"/>
        <charset val="204"/>
      </rPr>
      <t>³ по видове отпадъци годишно</t>
    </r>
  </si>
  <si>
    <t>Прогноза за броя кораби и количества отпадъци за морски пристанища по чл.56 б</t>
  </si>
  <si>
    <t>Прогноза за броя кораби и количества отпадъци за речни пристанища по чл.56 в</t>
  </si>
  <si>
    <t>Количества отпадъци в м³ за година в морски пристанища</t>
  </si>
  <si>
    <t>Брой посещения общо в морски пристанища с и без проект</t>
  </si>
  <si>
    <t xml:space="preserve">Стойност </t>
  </si>
  <si>
    <t>Стойност</t>
  </si>
  <si>
    <t>Приходи, дисконтирани</t>
  </si>
  <si>
    <t>Разходи , дисконтирани</t>
  </si>
  <si>
    <t>Инвестиционни разходи</t>
  </si>
  <si>
    <t>Разходи за дейността</t>
  </si>
  <si>
    <t>Приходи от дейността</t>
  </si>
  <si>
    <t>Остатъчна стойност</t>
  </si>
  <si>
    <t>Анализ на приходите -исторически данни</t>
  </si>
  <si>
    <t>Видове приходи</t>
  </si>
  <si>
    <t>Средно</t>
  </si>
  <si>
    <t>в %</t>
  </si>
  <si>
    <t>в % от приходите от такси</t>
  </si>
  <si>
    <t>Приходи от пристанищни такси</t>
  </si>
  <si>
    <t>ръст на приходите от такси</t>
  </si>
  <si>
    <t xml:space="preserve">след 2030г. </t>
  </si>
  <si>
    <t>Приходи от екотакси</t>
  </si>
  <si>
    <t>Свидетелство за отплаване</t>
  </si>
  <si>
    <t>Директни пристанищни услуги</t>
  </si>
  <si>
    <t>ръст на приходите от директни услуги</t>
  </si>
  <si>
    <t>Наеми</t>
  </si>
  <si>
    <t>Приходи от пристанищни услуги през Оператор</t>
  </si>
  <si>
    <t>ръст на приходите от услуги през Оператор</t>
  </si>
  <si>
    <t>Продажби на РКТ</t>
  </si>
  <si>
    <t>Други приходи</t>
  </si>
  <si>
    <t>Общо приходи за дейността</t>
  </si>
  <si>
    <t>Приходи от финансирания</t>
  </si>
  <si>
    <t>морски</t>
  </si>
  <si>
    <t>речни</t>
  </si>
  <si>
    <t>Приходи от такси за отпадъци на едно посещение</t>
  </si>
  <si>
    <t>Анализ на разходите -исторически данни</t>
  </si>
  <si>
    <t>в % от общите разходи</t>
  </si>
  <si>
    <t>в % от разходите за заплати</t>
  </si>
  <si>
    <t>Разходи за материали в т.ч.</t>
  </si>
  <si>
    <t>ръст на разходите за материали</t>
  </si>
  <si>
    <t>спрямо общите разходи за матеирали</t>
  </si>
  <si>
    <t>Разходи за електроенергия</t>
  </si>
  <si>
    <t>Разходи за външни услуги</t>
  </si>
  <si>
    <t>в т.ч. обработка на отпадъци</t>
  </si>
  <si>
    <t>ръст на разходите за обработка на отпадъци</t>
  </si>
  <si>
    <t>Разходи за поддръжка</t>
  </si>
  <si>
    <t>Разходи за заплати и осигуровки</t>
  </si>
  <si>
    <t>ръст на разходите за заплати</t>
  </si>
  <si>
    <t>Други разходи</t>
  </si>
  <si>
    <t>Общо разходи за дейността</t>
  </si>
  <si>
    <t>Финансови разходи за лихви</t>
  </si>
  <si>
    <t>Отрицателни курсови разлики</t>
  </si>
  <si>
    <t>Разходи за обработка на отпадъци за едно посещение в лв.</t>
  </si>
  <si>
    <t>Единични стойности - прогноза</t>
  </si>
  <si>
    <t xml:space="preserve">Допустими разходи по ОРГО, дисконтирани </t>
  </si>
  <si>
    <t>Оперативна печалба</t>
  </si>
  <si>
    <t xml:space="preserve">Допустими разходи по ОРГО </t>
  </si>
  <si>
    <t>Определяне на максималния % на помощта за морски пристанища</t>
  </si>
  <si>
    <t>Определяне на максималния % на помощта за речни пристанища</t>
  </si>
  <si>
    <t>Дисконтирани стойности</t>
  </si>
  <si>
    <t>Финансов анализ- морски пристанища</t>
  </si>
  <si>
    <t>FNPV</t>
  </si>
  <si>
    <t>FRR</t>
  </si>
  <si>
    <t>Финансов анализ- речни пристанища</t>
  </si>
  <si>
    <t>Основен лихвен % на БНБ  в сила до 01.06.2020г.</t>
  </si>
  <si>
    <t>Макро индикатори</t>
  </si>
  <si>
    <t>2020*</t>
  </si>
  <si>
    <t>Неселение в млн.</t>
  </si>
  <si>
    <t>БВП на  глава от населението (EUR)</t>
  </si>
  <si>
    <t>БВП реално измерение ( bln EUR)</t>
  </si>
  <si>
    <t>ръст на БВП  (%)</t>
  </si>
  <si>
    <t>Безработица (%)</t>
  </si>
  <si>
    <t>Фискален баланс  (в % от БВП)</t>
  </si>
  <si>
    <t>Публичен дълг (в % от БВП)</t>
  </si>
  <si>
    <t>Годишна инфлация (%)</t>
  </si>
  <si>
    <t>Валутен курс</t>
  </si>
  <si>
    <t>Външно търговски баланс</t>
  </si>
  <si>
    <t>Внос ( bln EUR)</t>
  </si>
  <si>
    <t>Износ ( bln EUR)</t>
  </si>
  <si>
    <t>Външен дълг  (в % от БВП)</t>
  </si>
  <si>
    <t>ПРОГНОЗА ЗА ПРИХОДИТЕ И ДОПУСКАНИЯ</t>
  </si>
  <si>
    <t>ПРОГНОЗА ЗА РАЗХОДИТЕ И ДОПУСКАНИЯ</t>
  </si>
  <si>
    <t>речен</t>
  </si>
  <si>
    <t>Преки разходи:</t>
  </si>
  <si>
    <t>Договори за обработени товари по MARPOL</t>
  </si>
  <si>
    <t>количества в м³</t>
  </si>
  <si>
    <t>Анекс І</t>
  </si>
  <si>
    <t>Анекс V</t>
  </si>
  <si>
    <t>Обява в АОП за обществената поръчка</t>
  </si>
  <si>
    <t xml:space="preserve">цена в лв. за 1 год. </t>
  </si>
  <si>
    <t>http://www.aop.bg/ng/form.php?class=F05_2014&amp;id=819793&amp;mode=view</t>
  </si>
  <si>
    <t>единична цена за м³</t>
  </si>
  <si>
    <t>30% от тях:</t>
  </si>
  <si>
    <t>преки разходи на посещение</t>
  </si>
  <si>
    <t>На посeщение на кораб</t>
  </si>
  <si>
    <t>На  м³ обработени отпадъци</t>
  </si>
  <si>
    <t xml:space="preserve">Количества отпадъци в м³ за година в речни пристанища </t>
  </si>
  <si>
    <t>Брой посещения общо в речни пристанища</t>
  </si>
  <si>
    <t>очакван размер на разходите за едно посещение в речни пристанища</t>
  </si>
  <si>
    <t>коефициент на еластичност</t>
  </si>
  <si>
    <t>Единична стойност на приходите от такси на 1 посещение- морски</t>
  </si>
  <si>
    <t>Единична стойност на приходите от такси на 1 посещение -речен</t>
  </si>
  <si>
    <t xml:space="preserve">Единични стойности </t>
  </si>
  <si>
    <t>Единична стойност на разходите за  едно посещение- речни</t>
  </si>
  <si>
    <t>Единична стойност на разходите за  едно посещение- морски</t>
  </si>
  <si>
    <t>ФИНАНСОВИ АНАЛИЗИ</t>
  </si>
  <si>
    <t>Average per year</t>
  </si>
  <si>
    <t>50% от непреки разходи  общо:</t>
  </si>
  <si>
    <t>Общо допустими разходи по ОРГО</t>
  </si>
  <si>
    <t>в т.ч от ЕС</t>
  </si>
  <si>
    <t>в т.ч от Национално съ-финансиране</t>
  </si>
  <si>
    <t>За сметка на Бенефициента</t>
  </si>
  <si>
    <t>Източници на финансиране за морски пристанища</t>
  </si>
  <si>
    <t>Определен размер на интензитета</t>
  </si>
  <si>
    <t xml:space="preserve">Общо инвестиционни разходи </t>
  </si>
  <si>
    <t>Източници на финансиране за речни пристанища</t>
  </si>
  <si>
    <t>Основен лихвен процент</t>
  </si>
  <si>
    <t>Дългосрочни ДЦК</t>
  </si>
  <si>
    <t>Средно срочни ДЦК</t>
  </si>
  <si>
    <t>German BOBL</t>
  </si>
  <si>
    <t xml:space="preserve">Определяне на финансовия дисконтов фактор (номинален), съгласно указанията на CBA Guide, Annex I ,2014 </t>
  </si>
  <si>
    <t>Средно аритметична стойност</t>
  </si>
  <si>
    <t>Общи инвестиционни раззходи</t>
  </si>
  <si>
    <t>без ОЛП и без инфлация</t>
  </si>
  <si>
    <t>Референтен лихвен процент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</si>
</sst>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л_в_._-;\-* #,##0.00\ _л_в_._-;_-* &quot;-&quot;??\ _л_в_._-;_-@_-"/>
    <numFmt numFmtId="164" formatCode="#,##0_ ;\-#,##0\ ;_-* &quot;-&quot;??_-"/>
    <numFmt numFmtId="165" formatCode="#,##0_ ;[Red]\-#,##0\ "/>
    <numFmt numFmtId="166" formatCode="0.0%"/>
    <numFmt numFmtId="167" formatCode="#,##0.00000"/>
    <numFmt numFmtId="168" formatCode="0.0"/>
    <numFmt numFmtId="169" formatCode="#,##0.0"/>
  </numFmts>
  <fonts count="2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1"/>
      <color rgb="FF0070C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3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FFFFFF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4214B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3" fillId="0" borderId="0"/>
  </cellStyleXfs>
  <cellXfs count="340">
    <xf numFmtId="0" fontId="0" fillId="0" borderId="0" xfId="0"/>
    <xf numFmtId="0" fontId="1" fillId="0" borderId="0" xfId="0" applyFont="1"/>
    <xf numFmtId="0" fontId="0" fillId="3" borderId="0" xfId="0" applyFill="1"/>
    <xf numFmtId="0" fontId="0" fillId="5" borderId="0" xfId="0" applyFill="1"/>
    <xf numFmtId="0" fontId="1" fillId="3" borderId="0" xfId="0" applyFont="1" applyFill="1"/>
    <xf numFmtId="0" fontId="1" fillId="5" borderId="0" xfId="0" applyFont="1" applyFill="1"/>
    <xf numFmtId="0" fontId="1" fillId="0" borderId="14" xfId="0" applyFont="1" applyBorder="1"/>
    <xf numFmtId="0" fontId="1" fillId="0" borderId="15" xfId="0" applyFont="1" applyBorder="1"/>
    <xf numFmtId="0" fontId="0" fillId="0" borderId="17" xfId="0" applyBorder="1"/>
    <xf numFmtId="0" fontId="0" fillId="0" borderId="18" xfId="0" applyBorder="1"/>
    <xf numFmtId="0" fontId="8" fillId="3" borderId="0" xfId="0" applyFont="1" applyFill="1"/>
    <xf numFmtId="0" fontId="8" fillId="5" borderId="0" xfId="0" applyFont="1" applyFill="1"/>
    <xf numFmtId="0" fontId="8" fillId="0" borderId="4" xfId="0" applyFont="1" applyBorder="1"/>
    <xf numFmtId="1" fontId="8" fillId="0" borderId="4" xfId="0" applyNumberFormat="1" applyFont="1" applyBorder="1"/>
    <xf numFmtId="1" fontId="8" fillId="0" borderId="20" xfId="0" applyNumberFormat="1" applyFont="1" applyBorder="1"/>
    <xf numFmtId="0" fontId="8" fillId="0" borderId="0" xfId="0" applyFont="1"/>
    <xf numFmtId="0" fontId="0" fillId="0" borderId="4" xfId="0" applyBorder="1"/>
    <xf numFmtId="0" fontId="0" fillId="0" borderId="20" xfId="0" applyBorder="1"/>
    <xf numFmtId="1" fontId="0" fillId="0" borderId="4" xfId="0" applyNumberFormat="1" applyBorder="1"/>
    <xf numFmtId="1" fontId="0" fillId="0" borderId="20" xfId="0" applyNumberFormat="1" applyBorder="1"/>
    <xf numFmtId="1" fontId="0" fillId="0" borderId="22" xfId="0" applyNumberFormat="1" applyBorder="1"/>
    <xf numFmtId="1" fontId="0" fillId="0" borderId="23" xfId="0" applyNumberFormat="1" applyBorder="1"/>
    <xf numFmtId="0" fontId="8" fillId="0" borderId="20" xfId="0" applyFont="1" applyBorder="1"/>
    <xf numFmtId="1" fontId="0" fillId="0" borderId="25" xfId="0" applyNumberFormat="1" applyBorder="1"/>
    <xf numFmtId="0" fontId="0" fillId="0" borderId="0" xfId="0" applyBorder="1"/>
    <xf numFmtId="1" fontId="0" fillId="3" borderId="0" xfId="0" applyNumberFormat="1" applyFill="1"/>
    <xf numFmtId="0" fontId="0" fillId="3" borderId="0" xfId="0" applyFill="1" applyAlignment="1">
      <alignment wrapText="1"/>
    </xf>
    <xf numFmtId="0" fontId="0" fillId="5" borderId="0" xfId="0" applyFill="1" applyAlignment="1">
      <alignment wrapText="1"/>
    </xf>
    <xf numFmtId="0" fontId="1" fillId="0" borderId="13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8" fillId="0" borderId="19" xfId="0" applyFont="1" applyBorder="1" applyAlignment="1">
      <alignment wrapText="1"/>
    </xf>
    <xf numFmtId="0" fontId="0" fillId="0" borderId="19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24" xfId="0" applyBorder="1" applyAlignment="1">
      <alignment wrapText="1"/>
    </xf>
    <xf numFmtId="0" fontId="1" fillId="0" borderId="19" xfId="0" applyFont="1" applyBorder="1" applyAlignment="1">
      <alignment wrapText="1"/>
    </xf>
    <xf numFmtId="0" fontId="0" fillId="0" borderId="0" xfId="0" applyAlignment="1">
      <alignment wrapText="1"/>
    </xf>
    <xf numFmtId="0" fontId="8" fillId="2" borderId="24" xfId="0" applyFont="1" applyFill="1" applyBorder="1" applyAlignment="1">
      <alignment wrapText="1"/>
    </xf>
    <xf numFmtId="1" fontId="8" fillId="2" borderId="25" xfId="0" applyNumberFormat="1" applyFont="1" applyFill="1" applyBorder="1"/>
    <xf numFmtId="0" fontId="0" fillId="6" borderId="0" xfId="0" applyFill="1"/>
    <xf numFmtId="0" fontId="0" fillId="3" borderId="0" xfId="0" applyFill="1" applyBorder="1"/>
    <xf numFmtId="1" fontId="8" fillId="3" borderId="0" xfId="0" applyNumberFormat="1" applyFont="1" applyFill="1" applyBorder="1"/>
    <xf numFmtId="0" fontId="8" fillId="5" borderId="0" xfId="0" applyFont="1" applyFill="1" applyBorder="1" applyAlignment="1">
      <alignment wrapText="1"/>
    </xf>
    <xf numFmtId="1" fontId="8" fillId="5" borderId="0" xfId="0" applyNumberFormat="1" applyFont="1" applyFill="1" applyBorder="1"/>
    <xf numFmtId="0" fontId="0" fillId="5" borderId="0" xfId="0" applyFill="1" applyBorder="1"/>
    <xf numFmtId="0" fontId="2" fillId="4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17" xfId="0" applyFont="1" applyFill="1" applyBorder="1" applyAlignment="1">
      <alignment wrapText="1"/>
    </xf>
    <xf numFmtId="0" fontId="3" fillId="4" borderId="26" xfId="0" applyFont="1" applyFill="1" applyBorder="1" applyAlignment="1">
      <alignment horizontal="left" vertical="center"/>
    </xf>
    <xf numFmtId="0" fontId="3" fillId="4" borderId="11" xfId="0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right" vertical="center"/>
    </xf>
    <xf numFmtId="4" fontId="2" fillId="4" borderId="0" xfId="0" applyNumberFormat="1" applyFont="1" applyFill="1" applyBorder="1" applyAlignment="1">
      <alignment horizontal="right" vertical="center"/>
    </xf>
    <xf numFmtId="40" fontId="0" fillId="4" borderId="4" xfId="0" applyNumberFormat="1" applyFill="1" applyBorder="1"/>
    <xf numFmtId="4" fontId="0" fillId="4" borderId="4" xfId="0" applyNumberFormat="1" applyFill="1" applyBorder="1"/>
    <xf numFmtId="4" fontId="0" fillId="4" borderId="20" xfId="0" applyNumberFormat="1" applyFill="1" applyBorder="1"/>
    <xf numFmtId="0" fontId="0" fillId="4" borderId="21" xfId="0" applyFill="1" applyBorder="1"/>
    <xf numFmtId="0" fontId="0" fillId="4" borderId="22" xfId="0" applyFill="1" applyBorder="1" applyAlignment="1">
      <alignment horizontal="center"/>
    </xf>
    <xf numFmtId="4" fontId="0" fillId="4" borderId="22" xfId="0" applyNumberFormat="1" applyFill="1" applyBorder="1"/>
    <xf numFmtId="4" fontId="2" fillId="4" borderId="22" xfId="0" applyNumberFormat="1" applyFont="1" applyFill="1" applyBorder="1" applyAlignment="1">
      <alignment horizontal="right" vertical="center"/>
    </xf>
    <xf numFmtId="40" fontId="0" fillId="4" borderId="22" xfId="0" applyNumberFormat="1" applyFill="1" applyBorder="1"/>
    <xf numFmtId="0" fontId="0" fillId="4" borderId="22" xfId="0" applyFill="1" applyBorder="1"/>
    <xf numFmtId="0" fontId="0" fillId="4" borderId="23" xfId="0" applyFill="1" applyBorder="1"/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left" vertic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left" vertical="center" wrapText="1"/>
    </xf>
    <xf numFmtId="0" fontId="1" fillId="4" borderId="17" xfId="0" applyFont="1" applyFill="1" applyBorder="1" applyAlignment="1">
      <alignment vertical="center" wrapText="1"/>
    </xf>
    <xf numFmtId="0" fontId="1" fillId="4" borderId="18" xfId="0" applyFont="1" applyFill="1" applyBorder="1" applyAlignment="1">
      <alignment vertical="center" wrapText="1"/>
    </xf>
    <xf numFmtId="0" fontId="3" fillId="4" borderId="19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right" vertical="center"/>
    </xf>
    <xf numFmtId="0" fontId="0" fillId="4" borderId="4" xfId="0" applyFill="1" applyBorder="1"/>
    <xf numFmtId="0" fontId="0" fillId="4" borderId="20" xfId="0" applyFill="1" applyBorder="1"/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0" fillId="7" borderId="7" xfId="0" applyFill="1" applyBorder="1"/>
    <xf numFmtId="0" fontId="0" fillId="7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0" xfId="0" applyFill="1" applyBorder="1"/>
    <xf numFmtId="0" fontId="0" fillId="7" borderId="11" xfId="0" applyFill="1" applyBorder="1"/>
    <xf numFmtId="0" fontId="4" fillId="7" borderId="10" xfId="1" applyFill="1" applyBorder="1"/>
    <xf numFmtId="0" fontId="0" fillId="7" borderId="12" xfId="0" applyFill="1" applyBorder="1"/>
    <xf numFmtId="0" fontId="0" fillId="7" borderId="6" xfId="0" applyFill="1" applyBorder="1"/>
    <xf numFmtId="10" fontId="5" fillId="8" borderId="2" xfId="0" applyNumberFormat="1" applyFont="1" applyFill="1" applyBorder="1"/>
    <xf numFmtId="1" fontId="0" fillId="0" borderId="32" xfId="0" applyNumberFormat="1" applyBorder="1"/>
    <xf numFmtId="0" fontId="8" fillId="2" borderId="21" xfId="0" applyFont="1" applyFill="1" applyBorder="1" applyAlignment="1">
      <alignment wrapText="1"/>
    </xf>
    <xf numFmtId="1" fontId="8" fillId="2" borderId="4" xfId="0" applyNumberFormat="1" applyFont="1" applyFill="1" applyBorder="1" applyAlignment="1">
      <alignment vertical="center"/>
    </xf>
    <xf numFmtId="1" fontId="8" fillId="2" borderId="20" xfId="0" applyNumberFormat="1" applyFont="1" applyFill="1" applyBorder="1" applyAlignment="1">
      <alignment vertical="center"/>
    </xf>
    <xf numFmtId="1" fontId="8" fillId="2" borderId="22" xfId="0" applyNumberFormat="1" applyFont="1" applyFill="1" applyBorder="1" applyAlignment="1">
      <alignment vertical="center"/>
    </xf>
    <xf numFmtId="1" fontId="8" fillId="2" borderId="23" xfId="0" applyNumberFormat="1" applyFont="1" applyFill="1" applyBorder="1" applyAlignment="1">
      <alignment vertical="center"/>
    </xf>
    <xf numFmtId="0" fontId="0" fillId="9" borderId="0" xfId="0" applyFill="1"/>
    <xf numFmtId="0" fontId="0" fillId="10" borderId="0" xfId="0" applyFill="1"/>
    <xf numFmtId="0" fontId="15" fillId="9" borderId="0" xfId="0" applyFont="1" applyFill="1" applyBorder="1" applyAlignment="1">
      <alignment horizontal="center" vertical="top"/>
    </xf>
    <xf numFmtId="0" fontId="1" fillId="4" borderId="33" xfId="0" applyFont="1" applyFill="1" applyBorder="1" applyAlignment="1">
      <alignment horizontal="center" vertical="center"/>
    </xf>
    <xf numFmtId="3" fontId="0" fillId="11" borderId="34" xfId="0" applyNumberFormat="1" applyFill="1" applyBorder="1" applyAlignment="1">
      <alignment vertical="center"/>
    </xf>
    <xf numFmtId="164" fontId="0" fillId="11" borderId="34" xfId="0" applyNumberFormat="1" applyFill="1" applyBorder="1"/>
    <xf numFmtId="3" fontId="0" fillId="11" borderId="34" xfId="0" applyNumberFormat="1" applyFill="1" applyBorder="1"/>
    <xf numFmtId="165" fontId="0" fillId="11" borderId="34" xfId="0" applyNumberFormat="1" applyFill="1" applyBorder="1"/>
    <xf numFmtId="3" fontId="16" fillId="11" borderId="34" xfId="0" applyNumberFormat="1" applyFont="1" applyFill="1" applyBorder="1" applyAlignment="1">
      <alignment horizontal="right"/>
    </xf>
    <xf numFmtId="3" fontId="0" fillId="11" borderId="35" xfId="0" applyNumberFormat="1" applyFill="1" applyBorder="1"/>
    <xf numFmtId="0" fontId="17" fillId="9" borderId="0" xfId="0" applyFont="1" applyFill="1" applyAlignment="1">
      <alignment wrapText="1"/>
    </xf>
    <xf numFmtId="0" fontId="0" fillId="9" borderId="0" xfId="0" applyFill="1" applyBorder="1"/>
    <xf numFmtId="1" fontId="18" fillId="9" borderId="0" xfId="0" applyNumberFormat="1" applyFont="1" applyFill="1" applyAlignment="1">
      <alignment horizontal="center"/>
    </xf>
    <xf numFmtId="0" fontId="18" fillId="9" borderId="0" xfId="0" applyFont="1" applyFill="1" applyAlignment="1">
      <alignment horizontal="center"/>
    </xf>
    <xf numFmtId="9" fontId="0" fillId="9" borderId="0" xfId="0" applyNumberFormat="1" applyFill="1"/>
    <xf numFmtId="0" fontId="0" fillId="4" borderId="0" xfId="0" applyFill="1" applyBorder="1"/>
    <xf numFmtId="164" fontId="0" fillId="7" borderId="0" xfId="2" applyNumberFormat="1" applyFont="1" applyFill="1" applyBorder="1"/>
    <xf numFmtId="164" fontId="0" fillId="5" borderId="0" xfId="2" applyNumberFormat="1" applyFont="1" applyFill="1" applyBorder="1"/>
    <xf numFmtId="164" fontId="0" fillId="7" borderId="17" xfId="2" applyNumberFormat="1" applyFont="1" applyFill="1" applyBorder="1"/>
    <xf numFmtId="0" fontId="0" fillId="7" borderId="17" xfId="0" applyFill="1" applyBorder="1"/>
    <xf numFmtId="0" fontId="0" fillId="7" borderId="18" xfId="0" applyFill="1" applyBorder="1"/>
    <xf numFmtId="164" fontId="0" fillId="7" borderId="19" xfId="2" applyNumberFormat="1" applyFont="1" applyFill="1" applyBorder="1"/>
    <xf numFmtId="164" fontId="0" fillId="7" borderId="36" xfId="2" applyNumberFormat="1" applyFont="1" applyFill="1" applyBorder="1"/>
    <xf numFmtId="164" fontId="0" fillId="7" borderId="21" xfId="2" applyNumberFormat="1" applyFont="1" applyFill="1" applyBorder="1"/>
    <xf numFmtId="164" fontId="0" fillId="7" borderId="22" xfId="2" applyNumberFormat="1" applyFont="1" applyFill="1" applyBorder="1"/>
    <xf numFmtId="165" fontId="0" fillId="7" borderId="23" xfId="0" applyNumberFormat="1" applyFill="1" applyBorder="1"/>
    <xf numFmtId="164" fontId="0" fillId="9" borderId="0" xfId="0" applyNumberFormat="1" applyFill="1"/>
    <xf numFmtId="164" fontId="0" fillId="5" borderId="0" xfId="0" applyNumberFormat="1" applyFill="1"/>
    <xf numFmtId="164" fontId="0" fillId="5" borderId="0" xfId="0" applyNumberFormat="1" applyFill="1" applyBorder="1"/>
    <xf numFmtId="0" fontId="19" fillId="9" borderId="0" xfId="0" applyFont="1" applyFill="1" applyAlignment="1">
      <alignment horizontal="right"/>
    </xf>
    <xf numFmtId="164" fontId="19" fillId="12" borderId="3" xfId="2" applyNumberFormat="1" applyFont="1" applyFill="1" applyBorder="1" applyAlignment="1">
      <alignment horizontal="right"/>
    </xf>
    <xf numFmtId="164" fontId="0" fillId="7" borderId="37" xfId="2" applyNumberFormat="1" applyFont="1" applyFill="1" applyBorder="1"/>
    <xf numFmtId="10" fontId="19" fillId="12" borderId="3" xfId="3" applyNumberFormat="1" applyFont="1" applyFill="1" applyBorder="1" applyAlignment="1">
      <alignment horizontal="right"/>
    </xf>
    <xf numFmtId="2" fontId="20" fillId="9" borderId="0" xfId="0" applyNumberFormat="1" applyFont="1" applyFill="1"/>
    <xf numFmtId="4" fontId="0" fillId="9" borderId="0" xfId="0" applyNumberFormat="1" applyFill="1"/>
    <xf numFmtId="1" fontId="0" fillId="5" borderId="0" xfId="0" applyNumberFormat="1" applyFill="1"/>
    <xf numFmtId="0" fontId="7" fillId="3" borderId="0" xfId="0" applyFont="1" applyFill="1"/>
    <xf numFmtId="0" fontId="7" fillId="5" borderId="0" xfId="0" applyFont="1" applyFill="1"/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0" fillId="0" borderId="4" xfId="0" applyBorder="1" applyAlignment="1">
      <alignment wrapText="1"/>
    </xf>
    <xf numFmtId="0" fontId="0" fillId="0" borderId="19" xfId="0" applyBorder="1"/>
    <xf numFmtId="3" fontId="0" fillId="0" borderId="4" xfId="0" applyNumberFormat="1" applyBorder="1"/>
    <xf numFmtId="3" fontId="0" fillId="0" borderId="20" xfId="0" applyNumberFormat="1" applyBorder="1"/>
    <xf numFmtId="10" fontId="0" fillId="0" borderId="29" xfId="3" applyNumberFormat="1" applyFont="1" applyBorder="1"/>
    <xf numFmtId="0" fontId="8" fillId="0" borderId="19" xfId="0" applyFont="1" applyBorder="1"/>
    <xf numFmtId="166" fontId="8" fillId="0" borderId="4" xfId="3" applyNumberFormat="1" applyFont="1" applyBorder="1"/>
    <xf numFmtId="10" fontId="8" fillId="0" borderId="4" xfId="3" applyNumberFormat="1" applyFont="1" applyBorder="1"/>
    <xf numFmtId="10" fontId="8" fillId="0" borderId="20" xfId="3" applyNumberFormat="1" applyFont="1" applyBorder="1"/>
    <xf numFmtId="10" fontId="13" fillId="0" borderId="29" xfId="0" applyNumberFormat="1" applyFont="1" applyBorder="1"/>
    <xf numFmtId="10" fontId="13" fillId="0" borderId="4" xfId="3" applyNumberFormat="1" applyFont="1" applyBorder="1"/>
    <xf numFmtId="10" fontId="0" fillId="0" borderId="4" xfId="3" applyNumberFormat="1" applyFont="1" applyBorder="1"/>
    <xf numFmtId="0" fontId="0" fillId="0" borderId="29" xfId="0" applyBorder="1"/>
    <xf numFmtId="0" fontId="0" fillId="0" borderId="12" xfId="0" applyBorder="1"/>
    <xf numFmtId="3" fontId="0" fillId="0" borderId="6" xfId="0" applyNumberFormat="1" applyBorder="1"/>
    <xf numFmtId="3" fontId="0" fillId="0" borderId="2" xfId="0" applyNumberFormat="1" applyBorder="1"/>
    <xf numFmtId="167" fontId="16" fillId="3" borderId="0" xfId="0" applyNumberFormat="1" applyFont="1" applyFill="1" applyBorder="1"/>
    <xf numFmtId="0" fontId="0" fillId="5" borderId="0" xfId="0" applyFill="1" applyBorder="1" applyAlignment="1"/>
    <xf numFmtId="0" fontId="0" fillId="3" borderId="0" xfId="0" applyFill="1" applyBorder="1" applyAlignment="1">
      <alignment wrapText="1"/>
    </xf>
    <xf numFmtId="0" fontId="0" fillId="5" borderId="0" xfId="0" applyFill="1" applyBorder="1" applyAlignment="1">
      <alignment wrapText="1"/>
    </xf>
    <xf numFmtId="167" fontId="16" fillId="5" borderId="0" xfId="0" applyNumberFormat="1" applyFont="1" applyFill="1" applyBorder="1"/>
    <xf numFmtId="0" fontId="0" fillId="4" borderId="17" xfId="0" applyFill="1" applyBorder="1"/>
    <xf numFmtId="0" fontId="0" fillId="4" borderId="18" xfId="0" applyFill="1" applyBorder="1"/>
    <xf numFmtId="2" fontId="0" fillId="4" borderId="4" xfId="0" applyNumberFormat="1" applyFill="1" applyBorder="1"/>
    <xf numFmtId="0" fontId="6" fillId="3" borderId="0" xfId="0" applyFont="1" applyFill="1" applyBorder="1" applyAlignment="1">
      <alignment horizontal="center"/>
    </xf>
    <xf numFmtId="0" fontId="1" fillId="0" borderId="29" xfId="0" applyFont="1" applyBorder="1" applyAlignment="1">
      <alignment vertical="center" wrapText="1"/>
    </xf>
    <xf numFmtId="166" fontId="0" fillId="0" borderId="4" xfId="3" applyNumberFormat="1" applyFont="1" applyBorder="1"/>
    <xf numFmtId="0" fontId="0" fillId="0" borderId="4" xfId="0" applyFill="1" applyBorder="1"/>
    <xf numFmtId="0" fontId="0" fillId="0" borderId="21" xfId="0" applyBorder="1"/>
    <xf numFmtId="0" fontId="0" fillId="0" borderId="22" xfId="0" applyFill="1" applyBorder="1"/>
    <xf numFmtId="0" fontId="0" fillId="0" borderId="22" xfId="0" applyBorder="1"/>
    <xf numFmtId="1" fontId="0" fillId="0" borderId="23" xfId="0" applyNumberFormat="1" applyFill="1" applyBorder="1"/>
    <xf numFmtId="1" fontId="0" fillId="5" borderId="0" xfId="0" applyNumberFormat="1" applyFill="1" applyBorder="1"/>
    <xf numFmtId="1" fontId="0" fillId="3" borderId="0" xfId="0" applyNumberFormat="1" applyFill="1" applyBorder="1"/>
    <xf numFmtId="0" fontId="0" fillId="0" borderId="39" xfId="0" applyBorder="1" applyAlignment="1">
      <alignment wrapText="1"/>
    </xf>
    <xf numFmtId="2" fontId="0" fillId="0" borderId="40" xfId="0" applyNumberFormat="1" applyBorder="1"/>
    <xf numFmtId="0" fontId="0" fillId="0" borderId="16" xfId="0" applyBorder="1"/>
    <xf numFmtId="2" fontId="0" fillId="4" borderId="4" xfId="0" applyNumberFormat="1" applyFill="1" applyBorder="1" applyAlignment="1">
      <alignment vertical="center"/>
    </xf>
    <xf numFmtId="2" fontId="0" fillId="0" borderId="4" xfId="0" applyNumberFormat="1" applyBorder="1" applyAlignment="1">
      <alignment vertical="center"/>
    </xf>
    <xf numFmtId="2" fontId="0" fillId="5" borderId="0" xfId="0" applyNumberFormat="1" applyFill="1"/>
    <xf numFmtId="2" fontId="0" fillId="4" borderId="22" xfId="0" applyNumberFormat="1" applyFill="1" applyBorder="1" applyAlignment="1">
      <alignment vertical="center"/>
    </xf>
    <xf numFmtId="2" fontId="0" fillId="5" borderId="0" xfId="0" applyNumberFormat="1" applyFill="1" applyAlignment="1">
      <alignment vertical="center"/>
    </xf>
    <xf numFmtId="0" fontId="0" fillId="5" borderId="0" xfId="0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0" borderId="33" xfId="0" applyBorder="1"/>
    <xf numFmtId="0" fontId="0" fillId="0" borderId="34" xfId="0" applyBorder="1"/>
    <xf numFmtId="3" fontId="0" fillId="3" borderId="0" xfId="0" applyNumberFormat="1" applyFill="1"/>
    <xf numFmtId="0" fontId="0" fillId="4" borderId="16" xfId="0" applyFill="1" applyBorder="1"/>
    <xf numFmtId="1" fontId="21" fillId="4" borderId="17" xfId="0" applyNumberFormat="1" applyFont="1" applyFill="1" applyBorder="1"/>
    <xf numFmtId="1" fontId="21" fillId="4" borderId="18" xfId="0" applyNumberFormat="1" applyFon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164" fontId="0" fillId="7" borderId="16" xfId="2" applyNumberFormat="1" applyFont="1" applyFill="1" applyBorder="1"/>
    <xf numFmtId="0" fontId="22" fillId="9" borderId="0" xfId="0" applyFont="1" applyFill="1" applyAlignment="1">
      <alignment horizontal="center" wrapText="1"/>
    </xf>
    <xf numFmtId="0" fontId="1" fillId="0" borderId="4" xfId="0" applyFont="1" applyBorder="1"/>
    <xf numFmtId="0" fontId="1" fillId="0" borderId="29" xfId="0" applyFont="1" applyBorder="1"/>
    <xf numFmtId="0" fontId="0" fillId="0" borderId="4" xfId="0" applyFont="1" applyBorder="1"/>
    <xf numFmtId="0" fontId="0" fillId="0" borderId="29" xfId="0" applyFont="1" applyBorder="1"/>
    <xf numFmtId="0" fontId="0" fillId="0" borderId="0" xfId="0" applyFont="1"/>
    <xf numFmtId="3" fontId="0" fillId="0" borderId="4" xfId="0" applyNumberFormat="1" applyFont="1" applyBorder="1"/>
    <xf numFmtId="166" fontId="0" fillId="0" borderId="29" xfId="3" applyNumberFormat="1" applyFont="1" applyBorder="1"/>
    <xf numFmtId="0" fontId="0" fillId="0" borderId="4" xfId="0" applyFont="1" applyFill="1" applyBorder="1"/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2" fontId="0" fillId="0" borderId="4" xfId="0" applyNumberFormat="1" applyFont="1" applyBorder="1"/>
    <xf numFmtId="168" fontId="0" fillId="0" borderId="4" xfId="0" applyNumberFormat="1" applyFont="1" applyBorder="1"/>
    <xf numFmtId="0" fontId="0" fillId="0" borderId="41" xfId="0" applyFont="1" applyBorder="1" applyAlignment="1">
      <alignment vertical="center" wrapText="1"/>
    </xf>
    <xf numFmtId="0" fontId="1" fillId="3" borderId="0" xfId="0" applyFont="1" applyFill="1" applyBorder="1" applyAlignment="1">
      <alignment wrapText="1"/>
    </xf>
    <xf numFmtId="0" fontId="16" fillId="0" borderId="4" xfId="4" applyFont="1" applyBorder="1"/>
    <xf numFmtId="0" fontId="16" fillId="0" borderId="4" xfId="4" applyFont="1" applyBorder="1" applyAlignment="1">
      <alignment vertical="center"/>
    </xf>
    <xf numFmtId="2" fontId="16" fillId="0" borderId="4" xfId="4" applyNumberFormat="1" applyFont="1" applyBorder="1"/>
    <xf numFmtId="0" fontId="16" fillId="3" borderId="0" xfId="4" applyFont="1" applyFill="1"/>
    <xf numFmtId="0" fontId="4" fillId="3" borderId="0" xfId="1" applyFont="1" applyFill="1"/>
    <xf numFmtId="2" fontId="0" fillId="0" borderId="44" xfId="0" applyNumberFormat="1" applyBorder="1" applyAlignment="1">
      <alignment horizontal="center"/>
    </xf>
    <xf numFmtId="0" fontId="0" fillId="0" borderId="34" xfId="0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44" xfId="0" applyNumberFormat="1" applyBorder="1" applyAlignment="1">
      <alignment horizontal="left"/>
    </xf>
    <xf numFmtId="0" fontId="7" fillId="3" borderId="0" xfId="0" applyFont="1" applyFill="1" applyBorder="1"/>
    <xf numFmtId="0" fontId="7" fillId="3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2" fontId="0" fillId="2" borderId="22" xfId="0" applyNumberFormat="1" applyFill="1" applyBorder="1" applyAlignment="1">
      <alignment vertical="center"/>
    </xf>
    <xf numFmtId="166" fontId="0" fillId="2" borderId="4" xfId="3" applyNumberFormat="1" applyFont="1" applyFill="1" applyBorder="1"/>
    <xf numFmtId="10" fontId="0" fillId="2" borderId="4" xfId="0" applyNumberFormat="1" applyFill="1" applyBorder="1"/>
    <xf numFmtId="166" fontId="0" fillId="2" borderId="4" xfId="0" applyNumberFormat="1" applyFill="1" applyBorder="1"/>
    <xf numFmtId="2" fontId="0" fillId="2" borderId="4" xfId="0" applyNumberFormat="1" applyFill="1" applyBorder="1" applyAlignment="1">
      <alignment vertical="center"/>
    </xf>
    <xf numFmtId="0" fontId="0" fillId="4" borderId="4" xfId="0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0" fillId="4" borderId="19" xfId="0" applyFill="1" applyBorder="1"/>
    <xf numFmtId="0" fontId="0" fillId="4" borderId="20" xfId="0" applyFill="1" applyBorder="1" applyAlignment="1">
      <alignment horizontal="center"/>
    </xf>
    <xf numFmtId="0" fontId="0" fillId="4" borderId="8" xfId="0" applyFill="1" applyBorder="1"/>
    <xf numFmtId="0" fontId="0" fillId="12" borderId="4" xfId="0" applyFill="1" applyBorder="1" applyAlignment="1">
      <alignment vertical="center"/>
    </xf>
    <xf numFmtId="2" fontId="0" fillId="12" borderId="38" xfId="0" applyNumberFormat="1" applyFill="1" applyBorder="1"/>
    <xf numFmtId="2" fontId="0" fillId="12" borderId="4" xfId="0" applyNumberFormat="1" applyFill="1" applyBorder="1"/>
    <xf numFmtId="0" fontId="7" fillId="10" borderId="0" xfId="0" applyFont="1" applyFill="1"/>
    <xf numFmtId="10" fontId="0" fillId="10" borderId="0" xfId="3" applyNumberFormat="1" applyFont="1" applyFill="1"/>
    <xf numFmtId="4" fontId="0" fillId="3" borderId="0" xfId="0" applyNumberFormat="1" applyFill="1"/>
    <xf numFmtId="3" fontId="0" fillId="11" borderId="34" xfId="3" applyNumberFormat="1" applyFont="1" applyFill="1" applyBorder="1"/>
    <xf numFmtId="0" fontId="24" fillId="13" borderId="1" xfId="0" applyFont="1" applyFill="1" applyBorder="1" applyAlignment="1">
      <alignment horizontal="center" vertical="center"/>
    </xf>
    <xf numFmtId="3" fontId="26" fillId="14" borderId="2" xfId="0" applyNumberFormat="1" applyFont="1" applyFill="1" applyBorder="1" applyAlignment="1">
      <alignment horizontal="right" vertical="center"/>
    </xf>
    <xf numFmtId="10" fontId="26" fillId="14" borderId="2" xfId="0" applyNumberFormat="1" applyFont="1" applyFill="1" applyBorder="1" applyAlignment="1">
      <alignment horizontal="right" vertical="center"/>
    </xf>
    <xf numFmtId="0" fontId="25" fillId="15" borderId="12" xfId="0" applyFont="1" applyFill="1" applyBorder="1" applyAlignment="1">
      <alignment horizontal="justify" vertical="center"/>
    </xf>
    <xf numFmtId="0" fontId="0" fillId="15" borderId="2" xfId="0" applyFill="1" applyBorder="1" applyAlignment="1">
      <alignment vertical="top"/>
    </xf>
    <xf numFmtId="3" fontId="25" fillId="14" borderId="2" xfId="0" applyNumberFormat="1" applyFont="1" applyFill="1" applyBorder="1" applyAlignment="1">
      <alignment horizontal="right" vertical="center"/>
    </xf>
    <xf numFmtId="10" fontId="0" fillId="9" borderId="0" xfId="0" applyNumberFormat="1" applyFill="1"/>
    <xf numFmtId="2" fontId="0" fillId="3" borderId="0" xfId="0" applyNumberFormat="1" applyFill="1"/>
    <xf numFmtId="0" fontId="1" fillId="10" borderId="0" xfId="0" applyFont="1" applyFill="1" applyBorder="1" applyAlignment="1">
      <alignment horizontal="center" vertical="center"/>
    </xf>
    <xf numFmtId="0" fontId="0" fillId="10" borderId="0" xfId="0" applyFill="1" applyBorder="1"/>
    <xf numFmtId="3" fontId="0" fillId="10" borderId="0" xfId="0" applyNumberFormat="1" applyFill="1" applyBorder="1"/>
    <xf numFmtId="2" fontId="0" fillId="10" borderId="0" xfId="0" applyNumberFormat="1" applyFill="1" applyBorder="1"/>
    <xf numFmtId="169" fontId="0" fillId="0" borderId="29" xfId="3" applyNumberFormat="1" applyFont="1" applyBorder="1"/>
    <xf numFmtId="9" fontId="0" fillId="0" borderId="4" xfId="0" applyNumberFormat="1" applyBorder="1"/>
    <xf numFmtId="10" fontId="0" fillId="0" borderId="4" xfId="0" applyNumberFormat="1" applyBorder="1"/>
    <xf numFmtId="10" fontId="1" fillId="0" borderId="4" xfId="0" applyNumberFormat="1" applyFont="1" applyBorder="1"/>
    <xf numFmtId="4" fontId="1" fillId="4" borderId="52" xfId="0" applyNumberFormat="1" applyFont="1" applyFill="1" applyBorder="1" applyAlignment="1">
      <alignment horizontal="center" vertical="center"/>
    </xf>
    <xf numFmtId="4" fontId="1" fillId="4" borderId="53" xfId="0" applyNumberFormat="1" applyFont="1" applyFill="1" applyBorder="1" applyAlignment="1">
      <alignment horizontal="center" vertical="center"/>
    </xf>
    <xf numFmtId="3" fontId="0" fillId="9" borderId="0" xfId="0" applyNumberFormat="1" applyFill="1"/>
    <xf numFmtId="0" fontId="8" fillId="0" borderId="27" xfId="0" applyFont="1" applyBorder="1" applyAlignment="1">
      <alignment horizontal="left" wrapText="1"/>
    </xf>
    <xf numFmtId="0" fontId="8" fillId="0" borderId="28" xfId="0" applyFont="1" applyBorder="1" applyAlignment="1">
      <alignment horizontal="left" wrapText="1"/>
    </xf>
    <xf numFmtId="0" fontId="8" fillId="0" borderId="29" xfId="0" applyFont="1" applyBorder="1" applyAlignment="1">
      <alignment horizontal="left" wrapText="1"/>
    </xf>
    <xf numFmtId="0" fontId="1" fillId="4" borderId="7" xfId="0" applyFont="1" applyFill="1" applyBorder="1" applyAlignment="1">
      <alignment horizontal="center" wrapText="1"/>
    </xf>
    <xf numFmtId="0" fontId="1" fillId="4" borderId="8" xfId="0" applyFont="1" applyFill="1" applyBorder="1" applyAlignment="1">
      <alignment horizontal="center" wrapText="1"/>
    </xf>
    <xf numFmtId="0" fontId="1" fillId="4" borderId="9" xfId="0" applyFont="1" applyFill="1" applyBorder="1" applyAlignment="1">
      <alignment horizontal="center" wrapText="1"/>
    </xf>
    <xf numFmtId="0" fontId="1" fillId="4" borderId="10" xfId="0" applyFont="1" applyFill="1" applyBorder="1" applyAlignment="1">
      <alignment horizontal="center" wrapText="1"/>
    </xf>
    <xf numFmtId="0" fontId="1" fillId="4" borderId="0" xfId="0" applyFont="1" applyFill="1" applyBorder="1" applyAlignment="1">
      <alignment horizontal="center" wrapText="1"/>
    </xf>
    <xf numFmtId="0" fontId="1" fillId="4" borderId="11" xfId="0" applyFont="1" applyFill="1" applyBorder="1" applyAlignment="1">
      <alignment horizontal="center" wrapText="1"/>
    </xf>
    <xf numFmtId="0" fontId="6" fillId="4" borderId="12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7" fillId="3" borderId="0" xfId="0" applyFont="1" applyFill="1" applyAlignment="1">
      <alignment horizontal="left" wrapText="1"/>
    </xf>
    <xf numFmtId="0" fontId="14" fillId="4" borderId="10" xfId="0" applyFont="1" applyFill="1" applyBorder="1" applyAlignment="1">
      <alignment horizontal="center" vertical="center" wrapText="1"/>
    </xf>
    <xf numFmtId="0" fontId="14" fillId="4" borderId="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top"/>
    </xf>
    <xf numFmtId="0" fontId="6" fillId="4" borderId="0" xfId="0" applyFont="1" applyFill="1" applyBorder="1" applyAlignment="1">
      <alignment horizontal="center" vertical="top"/>
    </xf>
    <xf numFmtId="0" fontId="0" fillId="4" borderId="0" xfId="0" applyFill="1" applyBorder="1" applyAlignment="1">
      <alignment horizontal="left"/>
    </xf>
    <xf numFmtId="0" fontId="0" fillId="10" borderId="0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10" borderId="0" xfId="0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 wrapText="1"/>
    </xf>
    <xf numFmtId="0" fontId="0" fillId="0" borderId="1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4" borderId="45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25" fillId="15" borderId="49" xfId="0" applyFont="1" applyFill="1" applyBorder="1" applyAlignment="1">
      <alignment horizontal="left" vertical="center"/>
    </xf>
    <xf numFmtId="0" fontId="25" fillId="15" borderId="50" xfId="0" applyFont="1" applyFill="1" applyBorder="1" applyAlignment="1">
      <alignment horizontal="left" vertical="center"/>
    </xf>
    <xf numFmtId="0" fontId="25" fillId="15" borderId="51" xfId="0" applyFont="1" applyFill="1" applyBorder="1" applyAlignment="1">
      <alignment horizontal="left" vertical="center"/>
    </xf>
    <xf numFmtId="0" fontId="25" fillId="0" borderId="42" xfId="0" applyFont="1" applyBorder="1" applyAlignment="1">
      <alignment horizontal="justify" vertical="center"/>
    </xf>
    <xf numFmtId="0" fontId="25" fillId="0" borderId="48" xfId="0" applyFont="1" applyBorder="1" applyAlignment="1">
      <alignment horizontal="justify" vertical="center"/>
    </xf>
    <xf numFmtId="0" fontId="24" fillId="13" borderId="16" xfId="0" applyFont="1" applyFill="1" applyBorder="1" applyAlignment="1">
      <alignment horizontal="center" vertical="center"/>
    </xf>
    <xf numFmtId="0" fontId="24" fillId="13" borderId="17" xfId="0" applyFont="1" applyFill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0" fontId="25" fillId="0" borderId="28" xfId="0" applyFont="1" applyBorder="1" applyAlignment="1">
      <alignment horizontal="left" vertical="center"/>
    </xf>
    <xf numFmtId="0" fontId="25" fillId="0" borderId="29" xfId="0" applyFont="1" applyBorder="1" applyAlignment="1">
      <alignment horizontal="left" vertical="center"/>
    </xf>
    <xf numFmtId="0" fontId="24" fillId="13" borderId="42" xfId="0" applyFont="1" applyFill="1" applyBorder="1" applyAlignment="1">
      <alignment horizontal="center" vertical="center"/>
    </xf>
    <xf numFmtId="0" fontId="24" fillId="13" borderId="48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center" wrapText="1"/>
    </xf>
    <xf numFmtId="0" fontId="6" fillId="4" borderId="42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0" fillId="4" borderId="4" xfId="0" applyFill="1" applyBorder="1" applyAlignment="1">
      <alignment horizontal="left" vertical="center"/>
    </xf>
    <xf numFmtId="0" fontId="16" fillId="0" borderId="4" xfId="4" applyFont="1" applyBorder="1" applyAlignment="1">
      <alignment horizontal="center" vertical="center"/>
    </xf>
    <xf numFmtId="0" fontId="16" fillId="0" borderId="4" xfId="4" applyFont="1" applyBorder="1" applyAlignment="1">
      <alignment horizontal="center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43" xfId="0" applyBorder="1" applyAlignment="1">
      <alignment horizontal="left"/>
    </xf>
    <xf numFmtId="0" fontId="1" fillId="4" borderId="36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30" xfId="0" applyFont="1" applyFill="1" applyBorder="1" applyAlignment="1">
      <alignment horizontal="center"/>
    </xf>
    <xf numFmtId="0" fontId="1" fillId="4" borderId="31" xfId="0" applyFont="1" applyFill="1" applyBorder="1" applyAlignment="1">
      <alignment horizontal="center"/>
    </xf>
    <xf numFmtId="2" fontId="0" fillId="4" borderId="21" xfId="0" applyNumberFormat="1" applyFill="1" applyBorder="1" applyAlignment="1">
      <alignment horizontal="center"/>
    </xf>
    <xf numFmtId="2" fontId="0" fillId="4" borderId="22" xfId="0" applyNumberFormat="1" applyFill="1" applyBorder="1" applyAlignment="1">
      <alignment horizontal="center"/>
    </xf>
    <xf numFmtId="2" fontId="0" fillId="4" borderId="23" xfId="0" applyNumberFormat="1" applyFill="1" applyBorder="1" applyAlignment="1">
      <alignment horizontal="center"/>
    </xf>
    <xf numFmtId="2" fontId="0" fillId="4" borderId="46" xfId="0" applyNumberFormat="1" applyFill="1" applyBorder="1" applyAlignment="1">
      <alignment horizontal="center" vertical="center"/>
    </xf>
    <xf numFmtId="2" fontId="0" fillId="4" borderId="45" xfId="0" applyNumberFormat="1" applyFill="1" applyBorder="1" applyAlignment="1">
      <alignment horizontal="center" vertical="center"/>
    </xf>
    <xf numFmtId="2" fontId="0" fillId="4" borderId="47" xfId="0" applyNumberFormat="1" applyFill="1" applyBorder="1" applyAlignment="1">
      <alignment horizontal="center" vertical="center"/>
    </xf>
    <xf numFmtId="2" fontId="0" fillId="4" borderId="12" xfId="0" applyNumberFormat="1" applyFill="1" applyBorder="1" applyAlignment="1">
      <alignment horizontal="center" vertical="center"/>
    </xf>
    <xf numFmtId="2" fontId="0" fillId="4" borderId="6" xfId="0" applyNumberFormat="1" applyFill="1" applyBorder="1" applyAlignment="1">
      <alignment horizontal="center" vertical="center"/>
    </xf>
    <xf numFmtId="2" fontId="0" fillId="4" borderId="2" xfId="0" applyNumberForma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1" fontId="0" fillId="0" borderId="19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2" xfId="0" applyBorder="1" applyAlignment="1">
      <alignment horizontal="center"/>
    </xf>
    <xf numFmtId="0" fontId="6" fillId="4" borderId="42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</cellXfs>
  <cellStyles count="5">
    <cellStyle name="Comma" xfId="2" builtinId="3"/>
    <cellStyle name="Hyperlink" xfId="1" builtinId="8"/>
    <cellStyle name="Normal" xfId="0" builtinId="0"/>
    <cellStyle name="Normal 2" xfId="4"/>
    <cellStyle name="Percent" xfId="3" builtinId="5"/>
  </cellStyles>
  <dxfs count="26">
    <dxf>
      <font>
        <color rgb="FF9BDEFF"/>
      </font>
    </dxf>
    <dxf>
      <font>
        <color rgb="FF9BDE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2" tint="-0.24994659260841701"/>
      </font>
      <fill>
        <patternFill>
          <bgColor theme="2" tint="-0.24994659260841701"/>
        </patternFill>
      </fill>
      <border>
        <left/>
        <right/>
        <top/>
        <bottom/>
      </border>
    </dxf>
    <dxf>
      <font>
        <color theme="2" tint="-0.24994659260841701"/>
      </font>
      <fill>
        <patternFill>
          <bgColor theme="2" tint="-0.24994659260841701"/>
        </patternFill>
      </fill>
      <border>
        <left/>
        <right/>
        <top/>
        <bottom/>
      </border>
    </dxf>
    <dxf>
      <font>
        <color theme="2" tint="-0.24994659260841701"/>
      </font>
      <fill>
        <patternFill>
          <bgColor theme="2" tint="-0.24994659260841701"/>
        </patternFill>
      </fill>
      <border>
        <left/>
        <right/>
        <top/>
        <bottom/>
      </border>
    </dxf>
    <dxf>
      <font>
        <color rgb="FF9BDEFF"/>
      </font>
    </dxf>
    <dxf>
      <font>
        <color rgb="FF9BDEFF"/>
      </font>
    </dxf>
    <dxf>
      <font>
        <color theme="2" tint="-0.24994659260841701"/>
      </font>
      <fill>
        <patternFill>
          <bgColor theme="2" tint="-0.24994659260841701"/>
        </patternFill>
      </fill>
      <border>
        <left/>
        <right/>
        <top/>
        <bottom/>
        <vertical/>
        <horizontal/>
      </border>
    </dxf>
    <dxf>
      <font>
        <color theme="2" tint="-0.24994659260841701"/>
      </font>
      <fill>
        <patternFill>
          <bgColor theme="2" tint="-0.24994659260841701"/>
        </patternFill>
      </fill>
      <border>
        <left/>
        <right/>
        <top/>
        <bottom/>
      </border>
    </dxf>
    <dxf>
      <font>
        <color theme="2" tint="-0.24994659260841701"/>
      </font>
      <fill>
        <patternFill>
          <bgColor theme="2" tint="-0.24994659260841701"/>
        </patternFill>
      </fill>
      <border>
        <left/>
        <right/>
        <top/>
        <bottom/>
      </border>
    </dxf>
    <dxf>
      <font>
        <color theme="0"/>
      </font>
    </dxf>
    <dxf>
      <font>
        <color theme="0"/>
      </font>
    </dxf>
    <dxf>
      <font>
        <color theme="2" tint="-0.24994659260841701"/>
      </font>
      <fill>
        <patternFill>
          <bgColor theme="2" tint="-0.24994659260841701"/>
        </patternFill>
      </fill>
      <border>
        <left/>
        <right/>
        <top/>
        <bottom/>
      </border>
    </dxf>
    <dxf>
      <font>
        <color theme="0"/>
      </font>
    </dxf>
    <dxf>
      <font>
        <color theme="0"/>
      </font>
    </dxf>
    <dxf>
      <font>
        <color theme="2" tint="-0.24994659260841701"/>
      </font>
      <fill>
        <patternFill>
          <bgColor theme="2" tint="-0.24994659260841701"/>
        </patternFill>
      </fill>
      <border>
        <left/>
        <right/>
        <top/>
        <bottom/>
      </border>
    </dxf>
    <dxf>
      <font>
        <color theme="2" tint="-0.24994659260841701"/>
      </font>
      <fill>
        <patternFill>
          <bgColor theme="2" tint="-0.24994659260841701"/>
        </patternFill>
      </fill>
      <border>
        <left/>
        <right/>
        <top/>
        <bottom/>
      </border>
    </dxf>
    <dxf>
      <font>
        <color theme="2" tint="-0.24994659260841701"/>
      </font>
      <fill>
        <patternFill>
          <bgColor theme="2" tint="-0.24994659260841701"/>
        </patternFill>
      </fill>
      <border>
        <left/>
        <right/>
        <top/>
        <bottom/>
      </border>
    </dxf>
    <dxf>
      <font>
        <color rgb="FF9BDEFF"/>
      </font>
    </dxf>
    <dxf>
      <font>
        <color rgb="FF9BDEFF"/>
      </font>
    </dxf>
    <dxf>
      <font>
        <color theme="2" tint="-0.24994659260841701"/>
      </font>
      <fill>
        <patternFill>
          <bgColor theme="2" tint="-0.24994659260841701"/>
        </patternFill>
      </fill>
      <border>
        <left/>
        <right/>
        <top/>
        <bottom/>
        <vertical/>
        <horizontal/>
      </border>
    </dxf>
    <dxf>
      <font>
        <color theme="2" tint="-0.24994659260841701"/>
      </font>
      <fill>
        <patternFill>
          <bgColor theme="2" tint="-0.24994659260841701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uttip\ContGest\Documents%20and%20Settings\robuttip.AMGA_SEDE\Documenti\AMGA%20COMMERCIALE\Storico%20Misure%20Acos-Gea-Deroghe\Previsioni%20mensili%20per%202001-0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)%20WATER%20PROJECTS\ISPA%20Closures\Maritza%20Closures\Stara%20Zagora\Data%20from%20RWC%20SZ\POMPAJNO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.tchakarova\Desktop\MARIA\DPPI-Waste\&#1055;&#1055;&#1057;+&#1045;-&#1087;&#1083;&#1072;&#1090;&#1092;&#1086;&#1088;&#1084;&#1072;\Submitted%20versions\DPPI_2.1_Report_CBA_Annex%201_Financial%20Model_08012020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.stoilova\Downloads\plashtania_dostavki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m.tchakarova\Desktop\BP-FSD\&#1063;&#1080;&#1090;&#1072;&#1083;&#1080;&#1097;&#1077;%20&#1042;&#1072;&#1089;&#1080;&#1083;%20&#1051;&#1077;&#1074;&#1089;&#1082;&#1080;\CBA%20&#1063;&#1080;&#1090;&#1072;&#1083;&#1080;&#1097;&#1077;%20&#1042;&#1072;&#1089;&#1080;&#1083;%20&#1051;&#1077;&#1074;&#1089;&#1082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)%20WATER%20PROJECTS\MPs%20Central\DIMITROVGRAD\Final%20version\Final%20with%20corrected%20capex_26.11.2013\BoQ-Bulgaria_Dimitrovgrad_18.11.201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)%20WATER%20PROJECTS\&#1056;&#1055;&#1048;&#1055;\CBAs\&#1042;&#1080;&#1050;%20&#1056;&#1091;&#1089;&#1077;\CBA%20Russe\fourth%20submission,%20December%202017\CBA%20Russe%202112201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Maria\AppData\Local\Microsoft\Windows\Temporary%20Internet%20Files\Content.Outlook\G5FPF6ZH\CBA-Dimitrovgrad%20ENG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\Profiles\Users\m.tchakarova\Desktop\BP-FSD\&#1063;&#1080;&#1090;&#1072;&#1083;&#1080;&#1097;&#1077;%20&#1042;&#1072;&#1089;&#1080;&#1083;%20&#1051;&#1077;&#1074;&#1089;&#1082;&#1080;\&#1041;&#1102;&#1076;&#1078;&#1077;&#1090;%20&#1063;&#1080;&#1090;&#1072;&#1083;&#1080;&#1097;&#1077;%20&#1050;&#1072;&#1088;&#1083;&#1086;&#1074;&#108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ATER%20PROJECTS\VELIKO%20TURNOVO\CBA\CBA-VT_03+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ARIA%20TCHAKAROVA\CURRENT\SofiaViK\Simeonovo+Moderno\CBA-Moderno%20predgradie\CBA-Moderno%20predgradi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0-VDK\2012\12003-MASTER%20PLANS\VDK\MASTER%20PLAN%20DIMITROVGRAD\Dimitrovgrad-glava%206\Prioritizaciq%20na%20investiciite\Prioritization%20criteria_MSA_BG_29-11-2012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Kostadin%20Kolarov_2\My%20Documents\Mobile\New%20Business%20Pl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ANO QUADRIENNALE"/>
      <sheetName val="PIANO Q-mensile"/>
      <sheetName val="Graf.curve mensili ass"/>
      <sheetName val="Graf.curve totali"/>
      <sheetName val="Graf.curve mensili %"/>
      <sheetName val="AMGA"/>
      <sheetName val="CAE"/>
      <sheetName val="Aquamet"/>
      <sheetName val="GEA"/>
      <sheetName val="AC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8">
          <cell r="B8" t="str">
            <v>76</v>
          </cell>
          <cell r="C8">
            <v>32491999.999999996</v>
          </cell>
          <cell r="D8">
            <v>34097000</v>
          </cell>
          <cell r="E8">
            <v>31793000</v>
          </cell>
          <cell r="F8">
            <v>18269000</v>
          </cell>
          <cell r="G8">
            <v>10260000</v>
          </cell>
          <cell r="H8">
            <v>7580000</v>
          </cell>
          <cell r="I8">
            <v>6648000</v>
          </cell>
          <cell r="J8">
            <v>5815000</v>
          </cell>
          <cell r="K8">
            <v>7681000</v>
          </cell>
          <cell r="L8">
            <v>12926000</v>
          </cell>
          <cell r="M8">
            <v>25971000</v>
          </cell>
          <cell r="N8">
            <v>35958000</v>
          </cell>
          <cell r="O8">
            <v>229490000</v>
          </cell>
        </row>
        <row r="9">
          <cell r="B9" t="str">
            <v>77</v>
          </cell>
          <cell r="C9">
            <v>40727000</v>
          </cell>
          <cell r="D9">
            <v>29743000</v>
          </cell>
          <cell r="E9">
            <v>26043000</v>
          </cell>
          <cell r="F9">
            <v>18901000</v>
          </cell>
          <cell r="G9">
            <v>12379000</v>
          </cell>
          <cell r="H9">
            <v>8335000.0000000009</v>
          </cell>
          <cell r="I9">
            <v>7064000</v>
          </cell>
          <cell r="J9">
            <v>6186000</v>
          </cell>
          <cell r="K9">
            <v>8399000</v>
          </cell>
          <cell r="L9">
            <v>10079000</v>
          </cell>
          <cell r="M9">
            <v>21859000</v>
          </cell>
          <cell r="N9">
            <v>36075000</v>
          </cell>
          <cell r="O9">
            <v>225790000</v>
          </cell>
        </row>
        <row r="10">
          <cell r="B10" t="str">
            <v>78</v>
          </cell>
          <cell r="C10">
            <v>36363000</v>
          </cell>
          <cell r="D10">
            <v>36602000</v>
          </cell>
          <cell r="E10">
            <v>25743000</v>
          </cell>
          <cell r="F10">
            <v>21143000</v>
          </cell>
          <cell r="G10">
            <v>12434000</v>
          </cell>
          <cell r="H10">
            <v>8212999.9999999991</v>
          </cell>
          <cell r="I10">
            <v>7111000</v>
          </cell>
          <cell r="J10">
            <v>6093000</v>
          </cell>
          <cell r="K10">
            <v>7932000</v>
          </cell>
          <cell r="L10">
            <v>10508000</v>
          </cell>
          <cell r="M10">
            <v>24765000</v>
          </cell>
          <cell r="N10">
            <v>36195000</v>
          </cell>
          <cell r="O10">
            <v>233102000</v>
          </cell>
        </row>
        <row r="11">
          <cell r="B11" t="str">
            <v>79</v>
          </cell>
          <cell r="C11">
            <v>44018000</v>
          </cell>
          <cell r="D11">
            <v>32151000.000000004</v>
          </cell>
          <cell r="E11">
            <v>27387000</v>
          </cell>
          <cell r="F11">
            <v>19220000</v>
          </cell>
          <cell r="G11">
            <v>10735000</v>
          </cell>
          <cell r="H11">
            <v>7585000</v>
          </cell>
          <cell r="I11">
            <v>6877000</v>
          </cell>
          <cell r="J11">
            <v>5515000</v>
          </cell>
          <cell r="K11">
            <v>7599000</v>
          </cell>
          <cell r="L11">
            <v>13034000</v>
          </cell>
          <cell r="M11">
            <v>25062000</v>
          </cell>
          <cell r="N11">
            <v>29626000</v>
          </cell>
          <cell r="O11">
            <v>228809000</v>
          </cell>
        </row>
        <row r="12">
          <cell r="B12" t="str">
            <v>80</v>
          </cell>
          <cell r="C12">
            <v>39490000</v>
          </cell>
          <cell r="D12">
            <v>28021000</v>
          </cell>
          <cell r="E12">
            <v>27749000</v>
          </cell>
          <cell r="F12">
            <v>15536000</v>
          </cell>
          <cell r="G12">
            <v>10738000</v>
          </cell>
          <cell r="H12">
            <v>8125999.9999999991</v>
          </cell>
          <cell r="I12">
            <v>7174000</v>
          </cell>
          <cell r="J12">
            <v>5303000</v>
          </cell>
          <cell r="K12">
            <v>7389000</v>
          </cell>
          <cell r="L12">
            <v>11790000</v>
          </cell>
          <cell r="M12">
            <v>27563000</v>
          </cell>
          <cell r="N12">
            <v>34931000</v>
          </cell>
          <cell r="O12">
            <v>223810000</v>
          </cell>
        </row>
        <row r="13">
          <cell r="B13" t="str">
            <v>81</v>
          </cell>
          <cell r="C13">
            <v>38333000</v>
          </cell>
          <cell r="D13">
            <v>32098000</v>
          </cell>
          <cell r="E13">
            <v>25875000</v>
          </cell>
          <cell r="F13">
            <v>12420000</v>
          </cell>
          <cell r="G13">
            <v>10159000</v>
          </cell>
          <cell r="H13">
            <v>7308000</v>
          </cell>
          <cell r="I13">
            <v>6655000</v>
          </cell>
          <cell r="J13">
            <v>5200000</v>
          </cell>
          <cell r="K13">
            <v>7109000</v>
          </cell>
          <cell r="L13">
            <v>11329000</v>
          </cell>
          <cell r="M13">
            <v>22290000</v>
          </cell>
          <cell r="N13">
            <v>33479000</v>
          </cell>
          <cell r="O13">
            <v>212255000</v>
          </cell>
        </row>
        <row r="14">
          <cell r="B14" t="str">
            <v>82</v>
          </cell>
          <cell r="C14">
            <v>34936000</v>
          </cell>
          <cell r="D14">
            <v>32658000</v>
          </cell>
          <cell r="E14">
            <v>28446000</v>
          </cell>
          <cell r="F14">
            <v>14631000</v>
          </cell>
          <cell r="G14">
            <v>10548000</v>
          </cell>
          <cell r="H14">
            <v>7342000</v>
          </cell>
          <cell r="I14">
            <v>6324000</v>
          </cell>
          <cell r="J14">
            <v>5174000</v>
          </cell>
          <cell r="K14">
            <v>6832000</v>
          </cell>
          <cell r="L14">
            <v>10868000</v>
          </cell>
          <cell r="M14">
            <v>22873000</v>
          </cell>
          <cell r="N14">
            <v>29950000</v>
          </cell>
          <cell r="O14">
            <v>210582000</v>
          </cell>
        </row>
        <row r="15">
          <cell r="B15" t="str">
            <v>83</v>
          </cell>
          <cell r="C15">
            <v>29803000</v>
          </cell>
          <cell r="D15">
            <v>35834000</v>
          </cell>
          <cell r="E15">
            <v>28597000</v>
          </cell>
          <cell r="F15">
            <v>17946000</v>
          </cell>
          <cell r="G15">
            <v>10523000</v>
          </cell>
          <cell r="H15">
            <v>7813000</v>
          </cell>
          <cell r="I15">
            <v>6177000</v>
          </cell>
          <cell r="J15">
            <v>5043000</v>
          </cell>
          <cell r="K15">
            <v>6820000</v>
          </cell>
          <cell r="L15">
            <v>10503000</v>
          </cell>
          <cell r="M15">
            <v>26926000</v>
          </cell>
          <cell r="N15">
            <v>37632000</v>
          </cell>
          <cell r="O15">
            <v>223617000</v>
          </cell>
        </row>
        <row r="16">
          <cell r="B16" t="str">
            <v>84</v>
          </cell>
          <cell r="C16">
            <v>38269000</v>
          </cell>
          <cell r="D16">
            <v>38601000</v>
          </cell>
          <cell r="E16">
            <v>31427000</v>
          </cell>
          <cell r="F16">
            <v>17765000</v>
          </cell>
          <cell r="G16">
            <v>13913000</v>
          </cell>
          <cell r="H16">
            <v>9101000</v>
          </cell>
          <cell r="I16">
            <v>6971000</v>
          </cell>
          <cell r="J16">
            <v>5965000</v>
          </cell>
          <cell r="K16">
            <v>8424000</v>
          </cell>
          <cell r="L16">
            <v>10912000</v>
          </cell>
          <cell r="M16">
            <v>25220000</v>
          </cell>
          <cell r="N16">
            <v>35037000</v>
          </cell>
          <cell r="O16">
            <v>241605000</v>
          </cell>
        </row>
        <row r="17">
          <cell r="B17" t="str">
            <v>85</v>
          </cell>
          <cell r="C17">
            <v>53997243</v>
          </cell>
          <cell r="D17">
            <v>38900000</v>
          </cell>
          <cell r="E17">
            <v>35192852</v>
          </cell>
          <cell r="F17">
            <v>14659000</v>
          </cell>
          <cell r="G17">
            <v>12303454</v>
          </cell>
          <cell r="H17">
            <v>8619854</v>
          </cell>
          <cell r="I17">
            <v>7139074</v>
          </cell>
          <cell r="J17">
            <v>6063198</v>
          </cell>
          <cell r="K17">
            <v>7888000</v>
          </cell>
          <cell r="L17">
            <v>12057400</v>
          </cell>
          <cell r="M17">
            <v>36741000</v>
          </cell>
          <cell r="N17">
            <v>35508064</v>
          </cell>
          <cell r="O17">
            <v>269069139</v>
          </cell>
        </row>
        <row r="18">
          <cell r="B18" t="str">
            <v>86</v>
          </cell>
          <cell r="C18">
            <v>46832811</v>
          </cell>
          <cell r="D18">
            <v>51106995</v>
          </cell>
          <cell r="E18">
            <v>36057216</v>
          </cell>
          <cell r="F18">
            <v>23816122</v>
          </cell>
          <cell r="G18">
            <v>11428192</v>
          </cell>
          <cell r="H18">
            <v>9889602</v>
          </cell>
          <cell r="I18">
            <v>8913135</v>
          </cell>
          <cell r="J18">
            <v>7415063</v>
          </cell>
          <cell r="K18">
            <v>9374068</v>
          </cell>
          <cell r="L18">
            <v>12100550</v>
          </cell>
          <cell r="M18">
            <v>28388223</v>
          </cell>
          <cell r="N18">
            <v>43015476</v>
          </cell>
          <cell r="O18">
            <v>288337453</v>
          </cell>
        </row>
        <row r="19">
          <cell r="B19" t="str">
            <v>87</v>
          </cell>
          <cell r="C19">
            <v>53650884</v>
          </cell>
          <cell r="D19">
            <v>44425681</v>
          </cell>
          <cell r="E19">
            <v>43856014</v>
          </cell>
          <cell r="F19">
            <v>22672000</v>
          </cell>
          <cell r="G19">
            <v>13322000</v>
          </cell>
          <cell r="H19">
            <v>10200000</v>
          </cell>
          <cell r="I19">
            <v>8164000</v>
          </cell>
          <cell r="J19">
            <v>6749000</v>
          </cell>
          <cell r="K19">
            <v>8635000</v>
          </cell>
          <cell r="L19">
            <v>13135000</v>
          </cell>
          <cell r="M19">
            <v>30665000</v>
          </cell>
          <cell r="N19">
            <v>47922000</v>
          </cell>
          <cell r="O19">
            <v>303396579</v>
          </cell>
        </row>
        <row r="20">
          <cell r="B20" t="str">
            <v>88</v>
          </cell>
          <cell r="C20">
            <v>47789000</v>
          </cell>
          <cell r="D20">
            <v>43695000</v>
          </cell>
          <cell r="E20">
            <v>39299000</v>
          </cell>
          <cell r="F20">
            <v>22233000</v>
          </cell>
          <cell r="G20">
            <v>12284000</v>
          </cell>
          <cell r="H20">
            <v>10726302</v>
          </cell>
          <cell r="I20">
            <v>9015730</v>
          </cell>
          <cell r="J20">
            <v>7106438</v>
          </cell>
          <cell r="K20">
            <v>9933153</v>
          </cell>
          <cell r="L20">
            <v>12333041</v>
          </cell>
          <cell r="M20">
            <v>42572415</v>
          </cell>
          <cell r="N20">
            <v>51224977</v>
          </cell>
          <cell r="O20">
            <v>308212056</v>
          </cell>
        </row>
        <row r="21">
          <cell r="B21" t="str">
            <v>89</v>
          </cell>
          <cell r="C21">
            <v>49142357</v>
          </cell>
          <cell r="D21">
            <v>39968256</v>
          </cell>
          <cell r="E21">
            <v>33832307</v>
          </cell>
          <cell r="F21">
            <v>27017237</v>
          </cell>
          <cell r="G21">
            <v>12797699</v>
          </cell>
          <cell r="H21">
            <v>10081467</v>
          </cell>
          <cell r="I21">
            <v>8408574</v>
          </cell>
          <cell r="J21">
            <v>6583534</v>
          </cell>
          <cell r="K21">
            <v>10115923</v>
          </cell>
          <cell r="L21">
            <v>13271196</v>
          </cell>
          <cell r="M21">
            <v>41026708</v>
          </cell>
          <cell r="N21">
            <v>54645200</v>
          </cell>
          <cell r="O21">
            <v>306890458</v>
          </cell>
        </row>
        <row r="22">
          <cell r="B22" t="str">
            <v>90</v>
          </cell>
          <cell r="C22">
            <v>57564335</v>
          </cell>
          <cell r="D22">
            <v>39887497</v>
          </cell>
          <cell r="E22">
            <v>37437745</v>
          </cell>
          <cell r="F22">
            <v>32606861.000000004</v>
          </cell>
          <cell r="G22">
            <v>12346453</v>
          </cell>
          <cell r="H22">
            <v>11209295</v>
          </cell>
          <cell r="I22">
            <v>9639583</v>
          </cell>
          <cell r="J22">
            <v>7549682</v>
          </cell>
          <cell r="K22">
            <v>8849238</v>
          </cell>
          <cell r="L22">
            <v>15571445</v>
          </cell>
          <cell r="M22">
            <v>41043342</v>
          </cell>
          <cell r="N22">
            <v>68909502</v>
          </cell>
          <cell r="O22">
            <v>342614978</v>
          </cell>
        </row>
        <row r="23">
          <cell r="B23" t="str">
            <v>91</v>
          </cell>
          <cell r="C23">
            <v>62426876</v>
          </cell>
          <cell r="D23">
            <v>66624064</v>
          </cell>
          <cell r="E23">
            <v>38780142</v>
          </cell>
          <cell r="F23">
            <v>29676691</v>
          </cell>
          <cell r="G23">
            <v>22698490</v>
          </cell>
          <cell r="H23">
            <v>12433673</v>
          </cell>
          <cell r="I23">
            <v>9631473</v>
          </cell>
          <cell r="J23">
            <v>7760910</v>
          </cell>
          <cell r="K23">
            <v>10027550</v>
          </cell>
          <cell r="L23">
            <v>25549722</v>
          </cell>
          <cell r="M23">
            <v>49643214</v>
          </cell>
          <cell r="N23">
            <v>63214377</v>
          </cell>
          <cell r="O23">
            <v>398467182</v>
          </cell>
        </row>
        <row r="24">
          <cell r="B24" t="str">
            <v>92</v>
          </cell>
          <cell r="C24">
            <v>61205608</v>
          </cell>
          <cell r="D24">
            <v>50213655</v>
          </cell>
          <cell r="E24">
            <v>42819173</v>
          </cell>
          <cell r="F24">
            <v>31978268</v>
          </cell>
          <cell r="G24">
            <v>12952331</v>
          </cell>
          <cell r="H24">
            <v>11831643</v>
          </cell>
          <cell r="I24">
            <v>10542488</v>
          </cell>
          <cell r="J24">
            <v>7596488</v>
          </cell>
          <cell r="K24">
            <v>10685954</v>
          </cell>
          <cell r="L24">
            <v>25347291</v>
          </cell>
          <cell r="M24">
            <v>39918783</v>
          </cell>
          <cell r="N24">
            <v>60833614</v>
          </cell>
          <cell r="O24">
            <v>365925296</v>
          </cell>
        </row>
        <row r="25">
          <cell r="B25" t="str">
            <v>93</v>
          </cell>
          <cell r="C25">
            <v>58607124</v>
          </cell>
          <cell r="D25">
            <v>56122034</v>
          </cell>
          <cell r="E25">
            <v>54354208</v>
          </cell>
          <cell r="F25">
            <v>33032996</v>
          </cell>
          <cell r="G25">
            <v>14715516</v>
          </cell>
          <cell r="H25">
            <v>10856875</v>
          </cell>
          <cell r="I25">
            <v>10591157</v>
          </cell>
          <cell r="J25">
            <v>8124421</v>
          </cell>
          <cell r="K25">
            <v>11362788</v>
          </cell>
          <cell r="L25">
            <v>21836239</v>
          </cell>
          <cell r="M25">
            <v>54257386</v>
          </cell>
          <cell r="N25">
            <v>57248029</v>
          </cell>
          <cell r="O25">
            <v>391108773</v>
          </cell>
        </row>
        <row r="26">
          <cell r="B26" t="str">
            <v>94</v>
          </cell>
          <cell r="C26">
            <v>60823193</v>
          </cell>
          <cell r="D26">
            <v>59517337</v>
          </cell>
          <cell r="E26">
            <v>41273411</v>
          </cell>
          <cell r="F26">
            <v>32219675</v>
          </cell>
          <cell r="G26">
            <v>14622952</v>
          </cell>
          <cell r="H26">
            <v>12007071</v>
          </cell>
          <cell r="I26">
            <v>9486403</v>
          </cell>
          <cell r="J26">
            <v>7638601</v>
          </cell>
          <cell r="K26">
            <v>11701458</v>
          </cell>
          <cell r="L26">
            <v>22853609</v>
          </cell>
          <cell r="M26">
            <v>35815885</v>
          </cell>
          <cell r="N26">
            <v>56406291</v>
          </cell>
          <cell r="O26">
            <v>364365886</v>
          </cell>
        </row>
      </sheetData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тикет"/>
      <sheetName val="1. Опис на ВС и КС"/>
      <sheetName val="2. Експлоатационни данни"/>
      <sheetName val="3. Отч. и прогн. ниво на потр."/>
      <sheetName val="4. Целеви нива"/>
      <sheetName val="5. Производствена програма"/>
      <sheetName val="6. Ремонтна програма"/>
      <sheetName val="7. Намаляване на загубите"/>
      <sheetName val="8. Подобряване на ефективността"/>
      <sheetName val="9.Справка ел. енер"/>
      <sheetName val="10. Инвестиции"/>
      <sheetName val="10.1. Инв.пр- доставяне"/>
      <sheetName val="10.2. Инв.пр.-отвеждане"/>
      <sheetName val="10.3.Инв.пр.-пречистване"/>
      <sheetName val="11. Предст. въвеж. активи"/>
      <sheetName val="12. Активи преди 01.01.2006"/>
      <sheetName val="12.1. Активи след 31.12.2005 "/>
      <sheetName val="13. Разходи "/>
      <sheetName val="14. ПР за присъединяване"/>
      <sheetName val="15. Кол. и пр-ди за базоват "/>
      <sheetName val="16. Цени и приходи "/>
      <sheetName val="17.  Несъбрани приходи "/>
      <sheetName val="17.1  Съд. вземания и разноски "/>
      <sheetName val="18. Соц. поносимост"/>
      <sheetName val="19. Възнагр. на персонала"/>
      <sheetName val="20. Соц. програма"/>
      <sheetName val="Баланс"/>
      <sheetName val="ОПР"/>
      <sheetName val="О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вестиции"/>
      <sheetName val="Прогноза приходи"/>
      <sheetName val="Прогноза разходи"/>
      <sheetName val="Финансов анализ"/>
      <sheetName val="Чувствителност"/>
      <sheetName val="Разходи-допускания"/>
      <sheetName val="Прогноза -отпадъци"/>
      <sheetName val="Брой посещения"/>
      <sheetName val="Статистика-морски"/>
      <sheetName val="Приходи-допускания"/>
      <sheetName val="Options"/>
      <sheetName val="Статистика-речен"/>
      <sheetName val="Такси"/>
      <sheetName val="Macro data"/>
      <sheetName val="СМР"/>
    </sheetNames>
    <sheetDataSet>
      <sheetData sheetId="0"/>
      <sheetData sheetId="1">
        <row r="2">
          <cell r="D2" t="str">
            <v>Проект: Доставка, монтаж и въвеждане в експлоатация на  пристанищни приемни съоръжения (ППС) в българските пристанища за обществен транспорт с национално значение</v>
          </cell>
        </row>
        <row r="4">
          <cell r="D4" t="str">
            <v>Държавно предприятие Пристанищна инфраструктура</v>
          </cell>
        </row>
      </sheetData>
      <sheetData sheetId="2"/>
      <sheetData sheetId="3"/>
      <sheetData sheetId="4"/>
      <sheetData sheetId="5"/>
      <sheetData sheetId="6"/>
      <sheetData sheetId="7">
        <row r="21">
          <cell r="E21">
            <v>1402</v>
          </cell>
          <cell r="F21">
            <v>795</v>
          </cell>
        </row>
      </sheetData>
      <sheetData sheetId="8">
        <row r="9">
          <cell r="I9">
            <v>3.2433541908764844E-2</v>
          </cell>
        </row>
        <row r="44">
          <cell r="A44" t="str">
            <v>Анекс I- нефтени замърсявания</v>
          </cell>
          <cell r="F44">
            <v>6884.0826000000006</v>
          </cell>
          <cell r="H44">
            <v>4.6150274413407821</v>
          </cell>
        </row>
        <row r="45">
          <cell r="A45" t="str">
            <v>Анекс IV- отпадъчни води</v>
          </cell>
          <cell r="F45">
            <v>164.50039999999998</v>
          </cell>
          <cell r="H45">
            <v>0.11027959776536311</v>
          </cell>
        </row>
        <row r="46">
          <cell r="A46" t="str">
            <v>Анекс V- битови отпадъци</v>
          </cell>
          <cell r="F46">
            <v>1288.4814666666666</v>
          </cell>
          <cell r="H46">
            <v>0.86378645810055854</v>
          </cell>
        </row>
        <row r="49">
          <cell r="F49">
            <v>2436.36</v>
          </cell>
          <cell r="H49">
            <v>2.0229947412122891</v>
          </cell>
        </row>
        <row r="50">
          <cell r="F50">
            <v>164.06333333333333</v>
          </cell>
          <cell r="H50">
            <v>0.13622751176307779</v>
          </cell>
        </row>
        <row r="51">
          <cell r="F51">
            <v>872.50666666666666</v>
          </cell>
          <cell r="H51">
            <v>0.72447273733739281</v>
          </cell>
        </row>
      </sheetData>
      <sheetData sheetId="9">
        <row r="2">
          <cell r="D2" t="str">
            <v>Проект: Доставка, монтаж и въвеждане в експлоатация на  пристанищни приемни съоръжения (ППС) в българските пристанища за обществен транспорт с национално значение</v>
          </cell>
        </row>
        <row r="4">
          <cell r="D4" t="str">
            <v>Държавно предприятие Пристанищна инфраструктура</v>
          </cell>
        </row>
      </sheetData>
      <sheetData sheetId="10"/>
      <sheetData sheetId="11">
        <row r="24">
          <cell r="J24">
            <v>1.0147630082990771</v>
          </cell>
        </row>
        <row r="25">
          <cell r="J25">
            <v>0.13622751176307779</v>
          </cell>
        </row>
        <row r="26">
          <cell r="J26">
            <v>0.72447273733739281</v>
          </cell>
        </row>
        <row r="33">
          <cell r="C33">
            <v>4.0247424665447243E-3</v>
          </cell>
        </row>
      </sheetData>
      <sheetData sheetId="12"/>
      <sheetData sheetId="13"/>
      <sheetData sheetId="14">
        <row r="14">
          <cell r="F14">
            <v>4971500</v>
          </cell>
        </row>
        <row r="22">
          <cell r="F22">
            <v>4456500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едпроектни"/>
      <sheetName val="договори"/>
    </sheetNames>
    <sheetDataSet>
      <sheetData sheetId="0"/>
      <sheetData sheetId="1">
        <row r="8">
          <cell r="F8">
            <v>382352</v>
          </cell>
        </row>
        <row r="9">
          <cell r="F9">
            <v>103350</v>
          </cell>
        </row>
        <row r="10">
          <cell r="F10">
            <v>774200</v>
          </cell>
        </row>
        <row r="13">
          <cell r="F13">
            <v>271820</v>
          </cell>
        </row>
        <row r="23">
          <cell r="F23">
            <v>2005724</v>
          </cell>
        </row>
        <row r="70">
          <cell r="H70">
            <v>13000</v>
          </cell>
        </row>
        <row r="102">
          <cell r="H102">
            <v>13000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Shee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яснение"/>
      <sheetName val="Списък_Инвестиции_Име"/>
      <sheetName val="Инвестиции_Водоснабдяване"/>
      <sheetName val="Детайли_Стойност ВСС"/>
      <sheetName val="Общо цени за ВСС"/>
      <sheetName val="Инвестиции Канализация"/>
      <sheetName val="Детайли стойност канализация"/>
      <sheetName val="Общо цени за канализация"/>
      <sheetName val="Общо BBC+канализация"/>
      <sheetName val="Приложени коефициенти"/>
      <sheetName val="Списък ВиК Оператори"/>
      <sheetName val="Списък на агломерации"/>
      <sheetName val="Corresp-ViK-Agglo"/>
    </sheetNames>
    <sheetDataSet>
      <sheetData sheetId="0"/>
      <sheetData sheetId="1"/>
      <sheetData sheetId="2">
        <row r="3">
          <cell r="A3" t="str">
            <v>WS_1</v>
          </cell>
        </row>
      </sheetData>
      <sheetData sheetId="3"/>
      <sheetData sheetId="4"/>
      <sheetData sheetId="5">
        <row r="3">
          <cell r="A3" t="str">
            <v>WW_1</v>
          </cell>
        </row>
      </sheetData>
      <sheetData sheetId="6"/>
      <sheetData sheetId="7"/>
      <sheetData sheetId="8"/>
      <sheetData sheetId="9">
        <row r="1">
          <cell r="E1" t="str">
            <v>Да</v>
          </cell>
          <cell r="F1" t="str">
            <v>Краткосрочна</v>
          </cell>
        </row>
        <row r="2">
          <cell r="B2">
            <v>1.3</v>
          </cell>
          <cell r="E2" t="str">
            <v>Не</v>
          </cell>
          <cell r="F2" t="str">
            <v>Средносрочна</v>
          </cell>
          <cell r="K2" t="str">
            <v>Димитровград</v>
          </cell>
        </row>
        <row r="3">
          <cell r="B3">
            <v>1.3</v>
          </cell>
          <cell r="F3" t="str">
            <v>Дългосрочна</v>
          </cell>
          <cell r="K3" t="str">
            <v>ВИК ООД Димитровград</v>
          </cell>
        </row>
        <row r="4">
          <cell r="B4">
            <v>1.3</v>
          </cell>
          <cell r="K4" t="str">
            <v>Ябълково-Скобелево-Сталево</v>
          </cell>
        </row>
        <row r="5">
          <cell r="K5" t="str">
            <v>Меричлери-Великан</v>
          </cell>
        </row>
        <row r="6">
          <cell r="B6">
            <v>1.25</v>
          </cell>
          <cell r="K6" t="str">
            <v xml:space="preserve"> </v>
          </cell>
        </row>
        <row r="7">
          <cell r="K7" t="str">
            <v xml:space="preserve"> </v>
          </cell>
        </row>
        <row r="8">
          <cell r="B8">
            <v>1.35</v>
          </cell>
          <cell r="K8" t="str">
            <v xml:space="preserve"> </v>
          </cell>
        </row>
        <row r="9">
          <cell r="B9">
            <v>1.3</v>
          </cell>
          <cell r="K9" t="str">
            <v xml:space="preserve"> </v>
          </cell>
        </row>
        <row r="10">
          <cell r="B10">
            <v>1.1499999999999999</v>
          </cell>
          <cell r="K10" t="str">
            <v xml:space="preserve"> </v>
          </cell>
        </row>
        <row r="11">
          <cell r="K11" t="str">
            <v xml:space="preserve"> </v>
          </cell>
        </row>
        <row r="12">
          <cell r="K12" t="str">
            <v xml:space="preserve"> </v>
          </cell>
        </row>
        <row r="13">
          <cell r="K13" t="str">
            <v xml:space="preserve"> </v>
          </cell>
        </row>
        <row r="14">
          <cell r="K14" t="str">
            <v xml:space="preserve"> </v>
          </cell>
        </row>
        <row r="15">
          <cell r="K15" t="str">
            <v xml:space="preserve"> </v>
          </cell>
        </row>
        <row r="16">
          <cell r="K16" t="str">
            <v xml:space="preserve"> </v>
          </cell>
        </row>
        <row r="17">
          <cell r="K17" t="str">
            <v xml:space="preserve"> </v>
          </cell>
        </row>
        <row r="18">
          <cell r="K18" t="str">
            <v xml:space="preserve"> </v>
          </cell>
        </row>
        <row r="19">
          <cell r="K19" t="str">
            <v xml:space="preserve"> </v>
          </cell>
        </row>
        <row r="20">
          <cell r="K20" t="str">
            <v xml:space="preserve"> </v>
          </cell>
        </row>
        <row r="21">
          <cell r="K21" t="str">
            <v xml:space="preserve"> </v>
          </cell>
        </row>
        <row r="22">
          <cell r="K22" t="str">
            <v xml:space="preserve"> </v>
          </cell>
        </row>
        <row r="23">
          <cell r="K23" t="str">
            <v xml:space="preserve"> </v>
          </cell>
        </row>
        <row r="24">
          <cell r="K24" t="str">
            <v xml:space="preserve"> </v>
          </cell>
        </row>
        <row r="25">
          <cell r="K25" t="str">
            <v xml:space="preserve"> </v>
          </cell>
        </row>
        <row r="26">
          <cell r="K26" t="str">
            <v xml:space="preserve"> </v>
          </cell>
        </row>
        <row r="27">
          <cell r="K27" t="str">
            <v xml:space="preserve"> </v>
          </cell>
        </row>
        <row r="28">
          <cell r="K28" t="str">
            <v xml:space="preserve"> </v>
          </cell>
        </row>
        <row r="29">
          <cell r="K29" t="str">
            <v xml:space="preserve"> </v>
          </cell>
        </row>
        <row r="30">
          <cell r="K30" t="str">
            <v xml:space="preserve"> </v>
          </cell>
        </row>
        <row r="31">
          <cell r="K31" t="str">
            <v xml:space="preserve"> </v>
          </cell>
        </row>
        <row r="32">
          <cell r="K32" t="str">
            <v xml:space="preserve"> </v>
          </cell>
        </row>
        <row r="33">
          <cell r="K33" t="str">
            <v xml:space="preserve"> </v>
          </cell>
        </row>
        <row r="34">
          <cell r="K34" t="str">
            <v xml:space="preserve"> </v>
          </cell>
        </row>
        <row r="35">
          <cell r="K35" t="str">
            <v xml:space="preserve"> </v>
          </cell>
        </row>
        <row r="36">
          <cell r="K36" t="str">
            <v xml:space="preserve"> </v>
          </cell>
        </row>
        <row r="37">
          <cell r="K37" t="str">
            <v xml:space="preserve"> </v>
          </cell>
        </row>
        <row r="38">
          <cell r="K38" t="str">
            <v xml:space="preserve"> </v>
          </cell>
        </row>
        <row r="39">
          <cell r="K39" t="str">
            <v xml:space="preserve"> </v>
          </cell>
        </row>
        <row r="40">
          <cell r="K40" t="str">
            <v xml:space="preserve"> </v>
          </cell>
        </row>
        <row r="41">
          <cell r="K41" t="str">
            <v xml:space="preserve"> </v>
          </cell>
        </row>
        <row r="42">
          <cell r="K42" t="str">
            <v xml:space="preserve"> </v>
          </cell>
        </row>
        <row r="43">
          <cell r="K43" t="str">
            <v xml:space="preserve"> </v>
          </cell>
        </row>
        <row r="44">
          <cell r="K44" t="str">
            <v xml:space="preserve"> </v>
          </cell>
        </row>
        <row r="45">
          <cell r="K45" t="str">
            <v xml:space="preserve"> </v>
          </cell>
        </row>
      </sheetData>
      <sheetData sheetId="10">
        <row r="2">
          <cell r="C2" t="str">
            <v xml:space="preserve">WSS-Company Batak  </v>
          </cell>
        </row>
        <row r="3">
          <cell r="C3" t="str">
            <v xml:space="preserve">Infrastroy Bratsigovo  </v>
          </cell>
        </row>
        <row r="4">
          <cell r="C4" t="str">
            <v>WSS-Company Yovkovci</v>
          </cell>
        </row>
        <row r="5">
          <cell r="C5" t="str">
            <v xml:space="preserve">WSS-Company Velingrad  </v>
          </cell>
        </row>
        <row r="6">
          <cell r="C6" t="str">
            <v xml:space="preserve">WSS-Company Gabrovo  </v>
          </cell>
        </row>
        <row r="7">
          <cell r="C7" t="str">
            <v xml:space="preserve">WSS-Company Dimitrovgrad </v>
          </cell>
        </row>
        <row r="8">
          <cell r="C8" t="str">
            <v xml:space="preserve">WSS-Company Isperih </v>
          </cell>
        </row>
        <row r="9">
          <cell r="C9" t="str">
            <v xml:space="preserve">WSS-Company Kubrat </v>
          </cell>
        </row>
        <row r="10">
          <cell r="C10" t="str">
            <v xml:space="preserve">WSS-Company Kardzhali  </v>
          </cell>
        </row>
        <row r="11">
          <cell r="C11" t="str">
            <v xml:space="preserve">WSS-Company Pazardzhik </v>
          </cell>
        </row>
        <row r="12">
          <cell r="C12" t="str">
            <v>WSS-Company Panagyurishte</v>
          </cell>
        </row>
        <row r="13">
          <cell r="C13" t="str">
            <v xml:space="preserve">WSS-Company Peshtera </v>
          </cell>
        </row>
        <row r="14">
          <cell r="C14" t="str">
            <v xml:space="preserve">WSS-Company Plovdiv </v>
          </cell>
        </row>
        <row r="15">
          <cell r="C15" t="str">
            <v xml:space="preserve">WSS-Company Razgrad  </v>
          </cell>
        </row>
        <row r="16">
          <cell r="C16" t="str">
            <v xml:space="preserve">WSS-Company Rakitovo </v>
          </cell>
        </row>
        <row r="17">
          <cell r="C17" t="str">
            <v>WSS-Company Rousse</v>
          </cell>
        </row>
        <row r="18">
          <cell r="C18" t="str">
            <v xml:space="preserve">WSS-Company Svishov </v>
          </cell>
        </row>
        <row r="19">
          <cell r="C19" t="str">
            <v xml:space="preserve">WSS-Company Byala–Sevlievo </v>
          </cell>
        </row>
        <row r="20">
          <cell r="C20" t="str">
            <v xml:space="preserve">WSS-Company Silistra </v>
          </cell>
        </row>
        <row r="21">
          <cell r="C21" t="str">
            <v xml:space="preserve">WSS-Company Smolyan  </v>
          </cell>
        </row>
        <row r="22">
          <cell r="C22" t="str">
            <v xml:space="preserve">WSS-Company Stambolovo  </v>
          </cell>
        </row>
        <row r="23">
          <cell r="C23" t="str">
            <v xml:space="preserve">WSS-Company Haskovo </v>
          </cell>
        </row>
        <row r="24">
          <cell r="C24" t="str">
            <v xml:space="preserve">WSS-Company Belovo </v>
          </cell>
        </row>
        <row r="25">
          <cell r="C25" t="str">
            <v xml:space="preserve">WSS-Company Strelcha </v>
          </cell>
        </row>
      </sheetData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Resume "/>
      <sheetName val="Project Investments "/>
      <sheetName val="Tariffs"/>
      <sheetName val="O&amp;M"/>
      <sheetName val="Graphs"/>
      <sheetName val="Consumption Forecast ViK"/>
      <sheetName val="Revenue "/>
      <sheetName val="Financing plan"/>
      <sheetName val="Financial analysis"/>
      <sheetName val="Risk Analysis FNPV"/>
      <sheetName val="Risk Assessment FA"/>
      <sheetName val="Sensitivity"/>
      <sheetName val="E Analyses"/>
      <sheetName val="Economic Benefit"/>
      <sheetName val="EInv+EO&amp;Mcosts"/>
      <sheetName val="Risk Analysis ENPV"/>
      <sheetName val="Sensitivity FA"/>
      <sheetName val="Affordability analyses"/>
      <sheetName val="Population Forecast"/>
      <sheetName val="Consumption RPIP"/>
      <sheetName val="Sensitivity EA"/>
      <sheetName val="O&amp;M-Water "/>
      <sheetName val="O&amp;M-Waste Water"/>
      <sheetName val="O&amp;M-Treated Water"/>
      <sheetName val="HH Income"/>
      <sheetName val="4. Отчет и прогн. потребление"/>
      <sheetName val="Fin.Sust. ViK"/>
      <sheetName val="12. Разходи"/>
      <sheetName val="14. ОПР"/>
      <sheetName val="Loan scheme "/>
      <sheetName val="Summary investments"/>
      <sheetName val="Qualitive risk assessm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">
          <cell r="F4">
            <v>1</v>
          </cell>
        </row>
        <row r="5">
          <cell r="F5">
            <v>1</v>
          </cell>
        </row>
        <row r="6">
          <cell r="F6">
            <v>1</v>
          </cell>
        </row>
        <row r="75">
          <cell r="F75">
            <v>1</v>
          </cell>
        </row>
        <row r="76">
          <cell r="F76">
            <v>1</v>
          </cell>
        </row>
        <row r="78">
          <cell r="F78">
            <v>1</v>
          </cell>
        </row>
        <row r="79">
          <cell r="F79">
            <v>1</v>
          </cell>
        </row>
        <row r="80">
          <cell r="F80">
            <v>1</v>
          </cell>
        </row>
        <row r="82">
          <cell r="F82">
            <v>1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53">
          <cell r="S153">
            <v>0</v>
          </cell>
        </row>
      </sheetData>
      <sheetData sheetId="3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sume Perf.Ind."/>
      <sheetName val="Summary-Invest"/>
      <sheetName val="Invest PW&amp;WW&amp;WWTP"/>
      <sheetName val="O&amp;M"/>
      <sheetName val="Revenue Scheme A"/>
      <sheetName val="Financial analysis-Alt1Scheme A"/>
      <sheetName val="Revenue Scheme B "/>
      <sheetName val="Financial analysis-Alt1SchemeB"/>
      <sheetName val="Financing plan"/>
      <sheetName val="Economic analysis"/>
      <sheetName val="RiskValuation"/>
      <sheetName val="Standard'sDeviation"/>
      <sheetName val="Debt-B"/>
      <sheetName val="Afford"/>
      <sheetName val="Sebestoinost"/>
      <sheetName val="Macro Economic"/>
      <sheetName val="Decile Group Income"/>
      <sheetName val="Income&amp;Healt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 на проекта"/>
      <sheetName val="Рекапитулация"/>
      <sheetName val=" КСС Арх"/>
      <sheetName val="КСС Конструкции"/>
      <sheetName val="КС ВиК"/>
      <sheetName val="КС Електро"/>
      <sheetName val="КСС ОВК"/>
      <sheetName val="КСС ГАЗ"/>
      <sheetName val="Слаботокови"/>
      <sheetName val="П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sume Perf.Ind."/>
      <sheetName val="Summary-Invest"/>
      <sheetName val="Invest PW&amp;WW&amp;WWTP"/>
      <sheetName val="O&amp;M"/>
      <sheetName val="Revenue Scheme A"/>
      <sheetName val="Revenue Assumption"/>
      <sheetName val="Financial analysis-Alt1Scheme A"/>
      <sheetName val="Sensitivity"/>
      <sheetName val="Financing plan"/>
      <sheetName val="Tariffs"/>
      <sheetName val="FS-Operator"/>
      <sheetName val="Afford"/>
      <sheetName val="Economic analysis"/>
      <sheetName val="RiskValuation"/>
      <sheetName val="beta"/>
      <sheetName val="Beta_моделиране"/>
      <sheetName val="Нормално"/>
      <sheetName val="Моделиране Monte Carlo"/>
      <sheetName val="Sheet1"/>
      <sheetName val="ENPV distrubution"/>
      <sheetName val="EIRR distrubution"/>
      <sheetName val="Revenue Scheme В"/>
      <sheetName val="Financial analysis-Scheme B"/>
      <sheetName val="Debt-B"/>
      <sheetName val="HHIncome"/>
      <sheetName val="Cost's effect"/>
    </sheetNames>
    <sheetDataSet>
      <sheetData sheetId="0"/>
      <sheetData sheetId="1" refreshError="1"/>
      <sheetData sheetId="2"/>
      <sheetData sheetId="3"/>
      <sheetData sheetId="4" refreshError="1"/>
      <sheetData sheetId="5"/>
      <sheetData sheetId="6"/>
      <sheetData sheetId="7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Summary-Invest"/>
      <sheetName val="WW-Invest"/>
      <sheetName val="WW-O&amp;M"/>
      <sheetName val="Revenue"/>
      <sheetName val="Financial analysis+Sens. analys"/>
      <sheetName val="Economic analysis+Sens.analyses"/>
      <sheetName val="Financing plan "/>
      <sheetName val="RiskValuation"/>
      <sheetName val="Debt-B"/>
      <sheetName val="Cash-A "/>
      <sheetName val="Cash-B"/>
      <sheetName val="Afford"/>
      <sheetName val="Prices"/>
      <sheetName val="Impl.Grafics"/>
    </sheetNames>
    <sheetDataSet>
      <sheetData sheetId="0" refreshError="1"/>
      <sheetData sheetId="1" refreshError="1"/>
      <sheetData sheetId="2">
        <row r="23">
          <cell r="A23" t="str">
            <v>Фискално коригирани разходи за инвестиции</v>
          </cell>
        </row>
        <row r="25">
          <cell r="A25" t="str">
            <v>No</v>
          </cell>
          <cell r="B25" t="str">
            <v>Вид на разходите</v>
          </cell>
          <cell r="C25" t="str">
            <v>Total cost</v>
          </cell>
          <cell r="E25">
            <v>2008</v>
          </cell>
          <cell r="F25">
            <v>2009</v>
          </cell>
          <cell r="G25">
            <v>2010</v>
          </cell>
          <cell r="H25">
            <v>2011</v>
          </cell>
          <cell r="I25">
            <v>2012</v>
          </cell>
          <cell r="J25">
            <v>2013</v>
          </cell>
          <cell r="K25">
            <v>2014</v>
          </cell>
          <cell r="L25">
            <v>2015</v>
          </cell>
          <cell r="M25">
            <v>2016</v>
          </cell>
          <cell r="N25">
            <v>2017</v>
          </cell>
          <cell r="O25">
            <v>2018</v>
          </cell>
          <cell r="P25">
            <v>2019</v>
          </cell>
          <cell r="Q25">
            <v>2020</v>
          </cell>
          <cell r="R25">
            <v>2021</v>
          </cell>
          <cell r="S25">
            <v>2022</v>
          </cell>
          <cell r="T25">
            <v>2023</v>
          </cell>
          <cell r="U25">
            <v>2024</v>
          </cell>
          <cell r="V25">
            <v>2025</v>
          </cell>
          <cell r="W25">
            <v>2026</v>
          </cell>
          <cell r="X25">
            <v>2027</v>
          </cell>
          <cell r="Y25">
            <v>2028</v>
          </cell>
          <cell r="Z25">
            <v>2029</v>
          </cell>
          <cell r="AA25">
            <v>2030</v>
          </cell>
          <cell r="AB25">
            <v>2031</v>
          </cell>
          <cell r="AC25">
            <v>2032</v>
          </cell>
        </row>
        <row r="26">
          <cell r="C26" t="str">
            <v>BGN</v>
          </cell>
          <cell r="D26" t="str">
            <v>BGN</v>
          </cell>
          <cell r="E26" t="str">
            <v>BGN</v>
          </cell>
          <cell r="F26" t="str">
            <v>BGN</v>
          </cell>
          <cell r="G26" t="str">
            <v>BGN</v>
          </cell>
          <cell r="H26" t="str">
            <v>BGN</v>
          </cell>
          <cell r="I26" t="str">
            <v>BGN</v>
          </cell>
          <cell r="J26" t="str">
            <v>BGN</v>
          </cell>
          <cell r="K26" t="str">
            <v>BGN</v>
          </cell>
          <cell r="L26" t="str">
            <v>BGN</v>
          </cell>
          <cell r="M26" t="str">
            <v>BGN</v>
          </cell>
          <cell r="N26" t="str">
            <v>BGN</v>
          </cell>
          <cell r="O26" t="str">
            <v>BGN</v>
          </cell>
          <cell r="P26" t="str">
            <v>BGN</v>
          </cell>
          <cell r="Q26" t="str">
            <v>BGN</v>
          </cell>
          <cell r="R26" t="str">
            <v>BGN</v>
          </cell>
          <cell r="S26" t="str">
            <v>BGN</v>
          </cell>
          <cell r="T26" t="str">
            <v>BGN</v>
          </cell>
          <cell r="U26" t="str">
            <v>BGN</v>
          </cell>
          <cell r="V26" t="str">
            <v>BGN</v>
          </cell>
          <cell r="W26" t="str">
            <v>BGN</v>
          </cell>
          <cell r="X26" t="str">
            <v>BGN</v>
          </cell>
          <cell r="Y26" t="str">
            <v>BGN</v>
          </cell>
          <cell r="Z26" t="str">
            <v>BGN</v>
          </cell>
          <cell r="AA26" t="str">
            <v>BGN</v>
          </cell>
          <cell r="AB26" t="str">
            <v>BGN</v>
          </cell>
          <cell r="AC26" t="str">
            <v>BGN</v>
          </cell>
        </row>
        <row r="27">
          <cell r="C27" t="str">
            <v>Stage 1</v>
          </cell>
          <cell r="D27" t="str">
            <v>Total</v>
          </cell>
        </row>
        <row r="28">
          <cell r="A28">
            <v>1</v>
          </cell>
          <cell r="B28" t="str">
            <v>Разширение, изграждане и ремонт на канал</v>
          </cell>
          <cell r="D28">
            <v>0</v>
          </cell>
        </row>
        <row r="29">
          <cell r="A29">
            <v>1.1000000000000001</v>
          </cell>
          <cell r="B29" t="str">
            <v>Изграждане на канал</v>
          </cell>
          <cell r="D29">
            <v>3766785.6687999996</v>
          </cell>
          <cell r="F29">
            <v>3766785.6687999996</v>
          </cell>
        </row>
        <row r="30">
          <cell r="A30">
            <v>1.2</v>
          </cell>
          <cell r="B30" t="str">
            <v>Ремонт или разширение</v>
          </cell>
          <cell r="D30">
            <v>0</v>
          </cell>
        </row>
        <row r="31">
          <cell r="A31">
            <v>3</v>
          </cell>
          <cell r="B31" t="str">
            <v>Непредвидени (10% от строителната стойност)</v>
          </cell>
          <cell r="D31">
            <v>376678.56688</v>
          </cell>
          <cell r="F31">
            <v>376678.56688</v>
          </cell>
        </row>
        <row r="32">
          <cell r="A32">
            <v>4</v>
          </cell>
          <cell r="B32" t="str">
            <v>Строителен надзор (5% от СМР)</v>
          </cell>
          <cell r="D32">
            <v>143333.532592</v>
          </cell>
          <cell r="F32">
            <v>143333.532592</v>
          </cell>
        </row>
        <row r="33">
          <cell r="B33" t="str">
            <v>Общо</v>
          </cell>
          <cell r="D33">
            <v>4286797.7682719994</v>
          </cell>
          <cell r="E33">
            <v>0</v>
          </cell>
          <cell r="F33">
            <v>4286797.7682719994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6">
          <cell r="B36" t="str">
            <v>Annual price escalation rate for E&amp;M (as EURO)</v>
          </cell>
          <cell r="E36">
            <v>1.4999999999999999E-2</v>
          </cell>
          <cell r="F36">
            <v>1.4999999999999999E-2</v>
          </cell>
          <cell r="G36">
            <v>1.4999999999999999E-2</v>
          </cell>
          <cell r="H36">
            <v>1.4999999999999999E-2</v>
          </cell>
          <cell r="I36">
            <v>1.4999999999999999E-2</v>
          </cell>
          <cell r="J36">
            <v>1.4999999999999999E-2</v>
          </cell>
          <cell r="K36">
            <v>1.4999999999999999E-2</v>
          </cell>
          <cell r="L36">
            <v>1.4999999999999999E-2</v>
          </cell>
          <cell r="M36">
            <v>1.4999999999999999E-2</v>
          </cell>
          <cell r="N36">
            <v>1.4999999999999999E-2</v>
          </cell>
          <cell r="O36">
            <v>1.4999999999999999E-2</v>
          </cell>
          <cell r="P36">
            <v>1.4999999999999999E-2</v>
          </cell>
          <cell r="Q36">
            <v>1.4999999999999999E-2</v>
          </cell>
          <cell r="R36">
            <v>1.4999999999999999E-2</v>
          </cell>
          <cell r="S36">
            <v>1.4999999999999999E-2</v>
          </cell>
          <cell r="T36">
            <v>1.4999999999999999E-2</v>
          </cell>
          <cell r="U36">
            <v>1.4999999999999999E-2</v>
          </cell>
          <cell r="V36">
            <v>1.4999999999999999E-2</v>
          </cell>
          <cell r="W36">
            <v>1.4999999999999999E-2</v>
          </cell>
          <cell r="X36">
            <v>1.4999999999999999E-2</v>
          </cell>
          <cell r="Y36">
            <v>1.4999999999999999E-2</v>
          </cell>
          <cell r="Z36">
            <v>1.4999999999999999E-2</v>
          </cell>
          <cell r="AA36">
            <v>1.4999999999999999E-2</v>
          </cell>
          <cell r="AB36">
            <v>1.4999999999999999E-2</v>
          </cell>
          <cell r="AC36">
            <v>1.4999999999999999E-2</v>
          </cell>
        </row>
        <row r="37">
          <cell r="B37" t="str">
            <v>Annual price escalation factor for E&amp;M (as EURO)</v>
          </cell>
          <cell r="E37">
            <v>1</v>
          </cell>
          <cell r="F37">
            <v>1.0149999999999999</v>
          </cell>
          <cell r="G37">
            <v>1.0302249999999997</v>
          </cell>
          <cell r="H37">
            <v>1.0456783749999996</v>
          </cell>
          <cell r="I37">
            <v>1.0613635506249994</v>
          </cell>
          <cell r="J37">
            <v>1.0772840038843743</v>
          </cell>
          <cell r="K37">
            <v>1.0934432639426397</v>
          </cell>
          <cell r="L37">
            <v>1.1098449129017791</v>
          </cell>
          <cell r="M37">
            <v>1.1264925865953057</v>
          </cell>
          <cell r="N37">
            <v>1.1433899753942351</v>
          </cell>
          <cell r="O37">
            <v>1.1605408250251485</v>
          </cell>
          <cell r="P37">
            <v>1.1779489374005256</v>
          </cell>
          <cell r="Q37">
            <v>1.1956181714615335</v>
          </cell>
          <cell r="R37">
            <v>1.2135524440334564</v>
          </cell>
          <cell r="S37">
            <v>1.2317557306939582</v>
          </cell>
          <cell r="T37">
            <v>1.2502320666543674</v>
          </cell>
          <cell r="U37">
            <v>1.2689855476541827</v>
          </cell>
          <cell r="V37">
            <v>1.2880203308689953</v>
          </cell>
          <cell r="W37">
            <v>1.3073406358320301</v>
          </cell>
          <cell r="X37">
            <v>1.3269507453695104</v>
          </cell>
          <cell r="Y37">
            <v>1.3468550065500529</v>
          </cell>
          <cell r="Z37">
            <v>1.3670578316483035</v>
          </cell>
          <cell r="AA37">
            <v>1.387563699123028</v>
          </cell>
          <cell r="AB37">
            <v>1.4083771546098733</v>
          </cell>
          <cell r="AC37">
            <v>1.4295028119290214</v>
          </cell>
        </row>
        <row r="38">
          <cell r="B38" t="str">
            <v>Annual price escalation rate for works (75% of GDP)</v>
          </cell>
          <cell r="E38">
            <v>3.1E-2</v>
          </cell>
          <cell r="F38">
            <v>2.7000000000000003E-2</v>
          </cell>
          <cell r="G38">
            <v>3.7500000000000006E-2</v>
          </cell>
          <cell r="H38">
            <v>3.7500000000000006E-2</v>
          </cell>
          <cell r="I38">
            <v>3.5625000000000004E-2</v>
          </cell>
          <cell r="J38">
            <v>3.3843749999999999E-2</v>
          </cell>
          <cell r="K38">
            <v>3.2151562499999994E-2</v>
          </cell>
          <cell r="L38">
            <v>3.0543984374999993E-2</v>
          </cell>
          <cell r="M38">
            <v>2.9016785156249992E-2</v>
          </cell>
          <cell r="N38">
            <v>2.7565945898437492E-2</v>
          </cell>
          <cell r="O38">
            <v>2.6187648603515617E-2</v>
          </cell>
          <cell r="P38">
            <v>2.4878266173339835E-2</v>
          </cell>
          <cell r="Q38">
            <v>2.3634352864672841E-2</v>
          </cell>
          <cell r="R38">
            <v>2.2452635221439199E-2</v>
          </cell>
          <cell r="S38">
            <v>2.1330003460367238E-2</v>
          </cell>
          <cell r="T38">
            <v>2.0263503287348876E-2</v>
          </cell>
          <cell r="U38">
            <v>1.9250328122981431E-2</v>
          </cell>
          <cell r="V38">
            <v>1.8287811716832358E-2</v>
          </cell>
          <cell r="W38">
            <v>1.7373421130990739E-2</v>
          </cell>
          <cell r="X38">
            <v>1.6504750074441202E-2</v>
          </cell>
          <cell r="Y38">
            <v>1.5679512570719142E-2</v>
          </cell>
          <cell r="Z38">
            <v>1.4895536942183183E-2</v>
          </cell>
          <cell r="AA38">
            <v>1.4895536942183183E-2</v>
          </cell>
          <cell r="AB38">
            <v>1.4895536942183183E-2</v>
          </cell>
          <cell r="AC38">
            <v>1.4895536942183183E-2</v>
          </cell>
        </row>
        <row r="39">
          <cell r="B39" t="str">
            <v>Annual price escalation factor for works (75% of BGN)</v>
          </cell>
          <cell r="E39">
            <v>1</v>
          </cell>
          <cell r="F39">
            <v>1.0269999999999999</v>
          </cell>
          <cell r="G39">
            <v>1.0655125000000001</v>
          </cell>
          <cell r="H39">
            <v>1.1054692187500001</v>
          </cell>
          <cell r="I39">
            <v>1.1448515596679689</v>
          </cell>
          <cell r="J39">
            <v>1.1835976296404818</v>
          </cell>
          <cell r="K39">
            <v>1.2216521428047196</v>
          </cell>
          <cell r="L39">
            <v>1.258966266766232</v>
          </cell>
          <cell r="M39">
            <v>1.2954974204479539</v>
          </cell>
          <cell r="N39">
            <v>1.3312090322515875</v>
          </cell>
          <cell r="O39">
            <v>1.366070266606018</v>
          </cell>
          <cell r="P39">
            <v>1.4000557263101279</v>
          </cell>
          <cell r="Q39">
            <v>1.4331451373759472</v>
          </cell>
          <cell r="R39">
            <v>1.4653230223648286</v>
          </cell>
          <cell r="S39">
            <v>1.496578367502426</v>
          </cell>
          <cell r="T39">
            <v>1.5269042881720865</v>
          </cell>
          <cell r="U39">
            <v>1.5562976967317865</v>
          </cell>
          <cell r="V39">
            <v>1.5847589759849574</v>
          </cell>
          <cell r="W39">
            <v>1.6122916610658617</v>
          </cell>
          <cell r="X39">
            <v>1.6389021319788597</v>
          </cell>
          <cell r="Y39">
            <v>1.6645993185594008</v>
          </cell>
          <cell r="Z39">
            <v>1.6893944192029355</v>
          </cell>
          <cell r="AA39">
            <v>1.7145588561840912</v>
          </cell>
          <cell r="AB39">
            <v>1.7400981309659289</v>
          </cell>
          <cell r="AC39">
            <v>1.7660178269587559</v>
          </cell>
        </row>
      </sheetData>
      <sheetData sheetId="3"/>
      <sheetData sheetId="4"/>
      <sheetData sheetId="5" refreshError="1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чкова система"/>
      <sheetName val="Изходна таблица КРАТКА"/>
      <sheetName val="Изходна таблица СРЕДНА"/>
      <sheetName val="Изходна таблица ДЪЛГА"/>
      <sheetName val="Хипотези"/>
      <sheetName val="Общини"/>
      <sheetName val="ВиК Оператори"/>
      <sheetName val="Области"/>
      <sheetName val="Съответни ВиК на агломерации"/>
      <sheetName val="Агломерации"/>
    </sheetNames>
    <sheetDataSet>
      <sheetData sheetId="0"/>
      <sheetData sheetId="1"/>
      <sheetData sheetId="2"/>
      <sheetData sheetId="3"/>
      <sheetData sheetId="4">
        <row r="4">
          <cell r="B4" t="str">
            <v>WW1</v>
          </cell>
        </row>
        <row r="5">
          <cell r="B5" t="str">
            <v>WS1</v>
          </cell>
        </row>
        <row r="6">
          <cell r="B6" t="str">
            <v>WW2</v>
          </cell>
        </row>
        <row r="7">
          <cell r="B7" t="str">
            <v>WS2</v>
          </cell>
        </row>
        <row r="8">
          <cell r="B8" t="str">
            <v>WW3</v>
          </cell>
        </row>
        <row r="9">
          <cell r="B9" t="str">
            <v>WS3</v>
          </cell>
        </row>
        <row r="10">
          <cell r="B10" t="str">
            <v>WW4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исание на продуктите"/>
      <sheetName val="Състояние на продуктите"/>
      <sheetName val="Пазарна прогноза (1)"/>
      <sheetName val="Пазарна прогноза (2)"/>
      <sheetName val="Пазарна прогноза (3)"/>
      <sheetName val="Пазарна прогноза (4)"/>
      <sheetName val="Пазарна прогноза (5)"/>
      <sheetName val="План за персонала"/>
      <sheetName val="ОПР 96-98"/>
      <sheetName val="Баланси 96-98"/>
      <sheetName val="Минали отчети"/>
      <sheetName val="Начало"/>
      <sheetName val="Начален баланс"/>
      <sheetName val="Прогнозни продажби"/>
      <sheetName val="Себестойност"/>
      <sheetName val="Постоянни разходи"/>
      <sheetName val="Инвестиции"/>
      <sheetName val="Собствен капитал"/>
      <sheetName val="Разчети по ДДС"/>
      <sheetName val="Проформа ОПР"/>
      <sheetName val="Проформа ОПП"/>
      <sheetName val="Проформа баланси"/>
      <sheetName val="Буфер"/>
      <sheetName val="Финансови показатели"/>
      <sheetName val="Оценка на проекта"/>
      <sheetName val="Мин. и оч. резултати"/>
      <sheetName val="Критични точки"/>
      <sheetName val="Sheet8"/>
      <sheetName val="Описание_на_продуктите"/>
      <sheetName val="Състояние_на_продуктите"/>
      <sheetName val="Пазарна_прогноза_(1)"/>
      <sheetName val="Пазарна_прогноза_(2)"/>
      <sheetName val="Пазарна_прогноза_(3)"/>
      <sheetName val="Пазарна_прогноза_(4)"/>
      <sheetName val="Пазарна_прогноза_(5)"/>
      <sheetName val="План_за_персонала"/>
      <sheetName val="ОПР_96-98"/>
      <sheetName val="Баланси_96-98"/>
      <sheetName val="Минали_отчети"/>
      <sheetName val="Начален_баланс"/>
      <sheetName val="Прогнозни_продажби"/>
      <sheetName val="Постоянни_разходи"/>
      <sheetName val="Собствен_капитал"/>
      <sheetName val="Разчети_по_ДДС"/>
      <sheetName val="Проформа_ОПР"/>
      <sheetName val="Проформа_ОПП"/>
      <sheetName val="Проформа_баланси"/>
      <sheetName val="Финансови_показатели"/>
      <sheetName val="Оценка_на_проекта"/>
      <sheetName val="Мин__и_оч__резултати"/>
      <sheetName val="Критични_точки"/>
      <sheetName val="TB-20-02-2002"/>
      <sheetName val="dropdown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/>
      <sheetData sheetId="13"/>
      <sheetData sheetId="14">
        <row r="124">
          <cell r="B124" t="str">
            <v>Електроенергия</v>
          </cell>
          <cell r="C124">
            <v>29491.133333333335</v>
          </cell>
          <cell r="D124">
            <v>29488.799999999999</v>
          </cell>
          <cell r="E124">
            <v>29488.799999999999</v>
          </cell>
          <cell r="F124">
            <v>29488.799999999999</v>
          </cell>
          <cell r="G124">
            <v>29488.799999999999</v>
          </cell>
          <cell r="H124">
            <v>29488.799999999999</v>
          </cell>
          <cell r="I124">
            <v>29488.799999999999</v>
          </cell>
          <cell r="J124">
            <v>29488.799999999999</v>
          </cell>
          <cell r="K124">
            <v>29488.799999999999</v>
          </cell>
          <cell r="L124">
            <v>29488.799999999999</v>
          </cell>
          <cell r="M124">
            <v>29488.799999999999</v>
          </cell>
          <cell r="N124">
            <v>29488.799999999999</v>
          </cell>
          <cell r="O124">
            <v>353867.93333333329</v>
          </cell>
          <cell r="P124">
            <v>357142.80000000005</v>
          </cell>
          <cell r="Q124">
            <v>364285.65600000002</v>
          </cell>
          <cell r="R124">
            <v>371571.36912000005</v>
          </cell>
          <cell r="S124">
            <v>379002.79650240007</v>
          </cell>
          <cell r="T124">
            <v>386582.85243244807</v>
          </cell>
        </row>
        <row r="125">
          <cell r="B125" t="str">
            <v>Отчетна стойност на продадените стоки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</row>
        <row r="126">
          <cell r="B126" t="str">
            <v>Услуги и др.</v>
          </cell>
          <cell r="C126">
            <v>18927.500000000004</v>
          </cell>
          <cell r="D126">
            <v>18926</v>
          </cell>
          <cell r="E126">
            <v>18926</v>
          </cell>
          <cell r="F126">
            <v>18926</v>
          </cell>
          <cell r="G126">
            <v>18926</v>
          </cell>
          <cell r="H126">
            <v>18926</v>
          </cell>
          <cell r="I126">
            <v>18926</v>
          </cell>
          <cell r="J126">
            <v>18926</v>
          </cell>
          <cell r="K126">
            <v>18926</v>
          </cell>
          <cell r="L126">
            <v>18926</v>
          </cell>
          <cell r="M126">
            <v>18926</v>
          </cell>
          <cell r="N126">
            <v>18926</v>
          </cell>
          <cell r="O126">
            <v>227113.5</v>
          </cell>
          <cell r="P126">
            <v>229591.8</v>
          </cell>
          <cell r="Q126">
            <v>234183.636</v>
          </cell>
          <cell r="R126">
            <v>238867.30872</v>
          </cell>
          <cell r="S126">
            <v>243644.65489439998</v>
          </cell>
          <cell r="T126">
            <v>248517.54799228802</v>
          </cell>
        </row>
      </sheetData>
      <sheetData sheetId="15"/>
      <sheetData sheetId="16">
        <row r="40">
          <cell r="E40">
            <v>151605.31</v>
          </cell>
        </row>
        <row r="43">
          <cell r="M43" t="str">
            <v>Всичко начислени амортизации</v>
          </cell>
          <cell r="O43">
            <v>151605.31</v>
          </cell>
          <cell r="P43">
            <v>247855.31000000003</v>
          </cell>
          <cell r="Q43">
            <v>265355.31000000006</v>
          </cell>
          <cell r="R43">
            <v>274105.31</v>
          </cell>
          <cell r="S43">
            <v>282855.31</v>
          </cell>
          <cell r="T43">
            <v>291605.31</v>
          </cell>
        </row>
      </sheetData>
      <sheetData sheetId="17">
        <row r="4">
          <cell r="B4" t="str">
            <v>Получени съучастия (увеличение на собствения капитал)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</row>
        <row r="5">
          <cell r="B5" t="str">
            <v>Получени вземания по записани дялови вноски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</row>
        <row r="6">
          <cell r="B6" t="str">
            <v>Намаление на собствения капитал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</row>
        <row r="7">
          <cell r="B7" t="str">
            <v>Вземания по получени през периода съучастия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</row>
      </sheetData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nb.bg/Statistics/StBIRAndIndices/StBIBaseInterestRate/index.htm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op.bg/ng/form.php?class=F05_2014&amp;id=819793&amp;mode=view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A314"/>
  <sheetViews>
    <sheetView tabSelected="1" topLeftCell="F1" workbookViewId="0">
      <selection activeCell="M6" sqref="M6"/>
    </sheetView>
  </sheetViews>
  <sheetFormatPr defaultRowHeight="15" x14ac:dyDescent="0.25"/>
  <cols>
    <col min="2" max="2" width="29.5703125" customWidth="1"/>
    <col min="3" max="3" width="11" customWidth="1"/>
    <col min="4" max="4" width="12.5703125" customWidth="1"/>
    <col min="5" max="5" width="13.7109375" customWidth="1"/>
    <col min="6" max="6" width="15" customWidth="1"/>
    <col min="7" max="9" width="11.28515625" bestFit="1" customWidth="1"/>
    <col min="10" max="10" width="11.85546875" customWidth="1"/>
    <col min="11" max="15" width="10.28515625" bestFit="1" customWidth="1"/>
    <col min="16" max="17" width="9.28515625" bestFit="1" customWidth="1"/>
    <col min="18" max="18" width="11.28515625" bestFit="1" customWidth="1"/>
  </cols>
  <sheetData>
    <row r="1" spans="2:27" s="2" customFormat="1" ht="15.75" thickBot="1" x14ac:dyDescent="0.3"/>
    <row r="2" spans="2:27" s="2" customFormat="1" x14ac:dyDescent="0.25">
      <c r="G2" s="76" t="s">
        <v>7</v>
      </c>
      <c r="H2" s="77"/>
      <c r="I2" s="77"/>
      <c r="J2" s="77"/>
      <c r="K2" s="77"/>
      <c r="L2" s="77"/>
      <c r="M2" s="78"/>
    </row>
    <row r="3" spans="2:27" s="2" customFormat="1" x14ac:dyDescent="0.25">
      <c r="B3" s="4" t="s">
        <v>0</v>
      </c>
      <c r="G3" s="79" t="s">
        <v>5</v>
      </c>
      <c r="H3" s="80"/>
      <c r="I3" s="80"/>
      <c r="J3" s="80"/>
      <c r="K3" s="80"/>
      <c r="L3" s="80"/>
      <c r="M3" s="81"/>
    </row>
    <row r="4" spans="2:27" s="2" customFormat="1" x14ac:dyDescent="0.25">
      <c r="G4" s="82" t="s">
        <v>6</v>
      </c>
      <c r="H4" s="80"/>
      <c r="I4" s="80"/>
      <c r="J4" s="80"/>
      <c r="K4" s="80"/>
      <c r="L4" s="80"/>
      <c r="M4" s="81"/>
    </row>
    <row r="5" spans="2:27" s="2" customFormat="1" ht="15.75" thickBot="1" x14ac:dyDescent="0.3">
      <c r="B5" s="4" t="s">
        <v>18</v>
      </c>
      <c r="G5" s="83" t="s">
        <v>84</v>
      </c>
      <c r="H5" s="84"/>
      <c r="I5" s="84"/>
      <c r="J5" s="84"/>
      <c r="K5" s="84"/>
      <c r="L5" s="84"/>
      <c r="M5" s="85">
        <v>0.01</v>
      </c>
    </row>
    <row r="6" spans="2:27" s="2" customFormat="1" ht="44.65" customHeight="1" thickBot="1" x14ac:dyDescent="0.3">
      <c r="B6" s="44" t="s">
        <v>1</v>
      </c>
      <c r="C6" s="45" t="s">
        <v>2</v>
      </c>
      <c r="D6" s="46" t="s">
        <v>3</v>
      </c>
      <c r="E6" s="47" t="s">
        <v>17</v>
      </c>
      <c r="F6" s="48" t="s">
        <v>8</v>
      </c>
      <c r="G6" s="74">
        <v>2019</v>
      </c>
      <c r="H6" s="74">
        <v>2020</v>
      </c>
      <c r="I6" s="74">
        <f>H6+1</f>
        <v>2021</v>
      </c>
      <c r="J6" s="74">
        <f>I6+1</f>
        <v>2022</v>
      </c>
      <c r="K6" s="75">
        <f>J6+1</f>
        <v>2023</v>
      </c>
    </row>
    <row r="7" spans="2:27" s="2" customFormat="1" x14ac:dyDescent="0.25">
      <c r="B7" s="49" t="s">
        <v>4</v>
      </c>
      <c r="C7" s="50">
        <v>1</v>
      </c>
      <c r="D7" s="51">
        <f>[11]СМР!$F$14</f>
        <v>4971500</v>
      </c>
      <c r="E7" s="52">
        <f>C7*D7</f>
        <v>4971500</v>
      </c>
      <c r="F7" s="53">
        <f>NPV(M5,G7:K7)</f>
        <v>4813156.747082185</v>
      </c>
      <c r="G7" s="72">
        <v>0</v>
      </c>
      <c r="H7" s="54">
        <f>D7*30%</f>
        <v>1491450</v>
      </c>
      <c r="I7" s="54">
        <f>[12]договори!$F$23*60%</f>
        <v>1203434.3999999999</v>
      </c>
      <c r="J7" s="54">
        <f>D7-H7-I7-K7</f>
        <v>1779465.6</v>
      </c>
      <c r="K7" s="55">
        <f>D7*10%</f>
        <v>497150</v>
      </c>
    </row>
    <row r="8" spans="2:27" s="2" customFormat="1" ht="15.75" thickBot="1" x14ac:dyDescent="0.3">
      <c r="B8" s="56" t="s">
        <v>16</v>
      </c>
      <c r="C8" s="57">
        <v>2</v>
      </c>
      <c r="D8" s="58">
        <f>[12]договори!$H$102</f>
        <v>13000</v>
      </c>
      <c r="E8" s="59">
        <f>C8*D8</f>
        <v>26000</v>
      </c>
      <c r="F8" s="60">
        <f>NPV(M5,G8:K8)</f>
        <v>25136.15145496124</v>
      </c>
      <c r="G8" s="72">
        <v>0</v>
      </c>
      <c r="H8" s="61">
        <f>E8*30%</f>
        <v>7800</v>
      </c>
      <c r="I8" s="61">
        <v>0</v>
      </c>
      <c r="J8" s="61">
        <f>E8*70%</f>
        <v>18200</v>
      </c>
      <c r="K8" s="62">
        <v>0</v>
      </c>
    </row>
    <row r="9" spans="2:27" s="2" customFormat="1" ht="15.75" thickBot="1" x14ac:dyDescent="0.3"/>
    <row r="10" spans="2:27" s="2" customFormat="1" ht="18.75" x14ac:dyDescent="0.3">
      <c r="B10" s="183"/>
      <c r="C10" s="184">
        <f>'Финансов анализ'!F19</f>
        <v>2019</v>
      </c>
      <c r="D10" s="184">
        <f>'Финансов анализ'!G19</f>
        <v>2020</v>
      </c>
      <c r="E10" s="184">
        <f>'Финансов анализ'!H19</f>
        <v>2021</v>
      </c>
      <c r="F10" s="184">
        <f>'Финансов анализ'!I19</f>
        <v>2022</v>
      </c>
      <c r="G10" s="184">
        <f>'Финансов анализ'!J19</f>
        <v>2023</v>
      </c>
      <c r="H10" s="184">
        <f>'Финансов анализ'!K19</f>
        <v>2024</v>
      </c>
      <c r="I10" s="184">
        <f>'Финансов анализ'!L19</f>
        <v>2025</v>
      </c>
      <c r="J10" s="184">
        <f>'Финансов анализ'!M19</f>
        <v>2026</v>
      </c>
      <c r="K10" s="184">
        <f>'Финансов анализ'!N19</f>
        <v>2027</v>
      </c>
      <c r="L10" s="184">
        <f>'Финансов анализ'!O19</f>
        <v>2028</v>
      </c>
      <c r="M10" s="184">
        <f>'Финансов анализ'!P19</f>
        <v>2029</v>
      </c>
      <c r="N10" s="184">
        <f>'Финансов анализ'!Q19</f>
        <v>2030</v>
      </c>
      <c r="O10" s="184">
        <f>'Финансов анализ'!R19</f>
        <v>2031</v>
      </c>
      <c r="P10" s="184">
        <f>'Финансов анализ'!S19</f>
        <v>2032</v>
      </c>
      <c r="Q10" s="184">
        <f>'Финансов анализ'!T19</f>
        <v>2033</v>
      </c>
      <c r="R10" s="184">
        <f>'Финансов анализ'!U19</f>
        <v>2034</v>
      </c>
      <c r="S10" s="184">
        <f>'Финансов анализ'!V19</f>
        <v>2035</v>
      </c>
      <c r="T10" s="184">
        <f>'Финансов анализ'!W19</f>
        <v>2036</v>
      </c>
      <c r="U10" s="184">
        <f>'Финансов анализ'!X19</f>
        <v>2037</v>
      </c>
      <c r="V10" s="184">
        <f>'Финансов анализ'!Y19</f>
        <v>2038</v>
      </c>
      <c r="W10" s="184">
        <f>'Финансов анализ'!Z19</f>
        <v>2039</v>
      </c>
      <c r="X10" s="184">
        <f>'Финансов анализ'!AA19</f>
        <v>2040</v>
      </c>
      <c r="Y10" s="184">
        <f>'Финансов анализ'!AB19</f>
        <v>2041</v>
      </c>
      <c r="Z10" s="184">
        <f>'Финансов анализ'!AC19</f>
        <v>2042</v>
      </c>
      <c r="AA10" s="185">
        <f>'Финансов анализ'!AD19</f>
        <v>2043</v>
      </c>
    </row>
    <row r="11" spans="2:27" s="2" customFormat="1" ht="15.75" thickBot="1" x14ac:dyDescent="0.3">
      <c r="B11" s="56" t="s">
        <v>32</v>
      </c>
      <c r="C11" s="61"/>
      <c r="D11" s="61"/>
      <c r="E11" s="61"/>
      <c r="F11" s="61"/>
      <c r="G11" s="61"/>
      <c r="H11" s="186">
        <f>E7+E8</f>
        <v>4997500</v>
      </c>
      <c r="I11" s="186">
        <f>H11-$H$11*10%</f>
        <v>4497750</v>
      </c>
      <c r="J11" s="186">
        <f t="shared" ref="J11:Q11" si="0">I11-$H$11*10%</f>
        <v>3998000</v>
      </c>
      <c r="K11" s="186">
        <f t="shared" si="0"/>
        <v>3498250</v>
      </c>
      <c r="L11" s="186">
        <f t="shared" si="0"/>
        <v>2998500</v>
      </c>
      <c r="M11" s="186">
        <f t="shared" si="0"/>
        <v>2498750</v>
      </c>
      <c r="N11" s="186">
        <f t="shared" si="0"/>
        <v>1999000</v>
      </c>
      <c r="O11" s="186">
        <f t="shared" si="0"/>
        <v>1499250</v>
      </c>
      <c r="P11" s="186">
        <f t="shared" si="0"/>
        <v>999500</v>
      </c>
      <c r="Q11" s="186">
        <f t="shared" si="0"/>
        <v>499750</v>
      </c>
      <c r="R11" s="186">
        <f>H11</f>
        <v>4997500</v>
      </c>
      <c r="S11" s="186">
        <f t="shared" ref="S11:AA11" si="1">I11</f>
        <v>4497750</v>
      </c>
      <c r="T11" s="186">
        <f t="shared" si="1"/>
        <v>3998000</v>
      </c>
      <c r="U11" s="186">
        <f t="shared" si="1"/>
        <v>3498250</v>
      </c>
      <c r="V11" s="186">
        <f t="shared" si="1"/>
        <v>2998500</v>
      </c>
      <c r="W11" s="186">
        <f t="shared" si="1"/>
        <v>2498750</v>
      </c>
      <c r="X11" s="186">
        <f t="shared" si="1"/>
        <v>1999000</v>
      </c>
      <c r="Y11" s="186">
        <f t="shared" si="1"/>
        <v>1499250</v>
      </c>
      <c r="Z11" s="186">
        <f t="shared" si="1"/>
        <v>999500</v>
      </c>
      <c r="AA11" s="187">
        <f t="shared" si="1"/>
        <v>499750</v>
      </c>
    </row>
    <row r="12" spans="2:27" s="2" customFormat="1" x14ac:dyDescent="0.25"/>
    <row r="13" spans="2:27" s="2" customFormat="1" ht="15.75" thickBot="1" x14ac:dyDescent="0.3">
      <c r="B13" s="4" t="s">
        <v>19</v>
      </c>
    </row>
    <row r="14" spans="2:27" s="2" customFormat="1" ht="45" customHeight="1" x14ac:dyDescent="0.25">
      <c r="B14" s="63" t="s">
        <v>1</v>
      </c>
      <c r="C14" s="64" t="s">
        <v>2</v>
      </c>
      <c r="D14" s="65" t="s">
        <v>3</v>
      </c>
      <c r="E14" s="66" t="str">
        <f t="shared" ref="E14:K14" si="2">E6</f>
        <v>Обща стойност без ДДС (лв)</v>
      </c>
      <c r="F14" s="48" t="str">
        <f t="shared" si="2"/>
        <v>дисконтирана стойност на помощта</v>
      </c>
      <c r="G14" s="67">
        <f t="shared" si="2"/>
        <v>2019</v>
      </c>
      <c r="H14" s="67">
        <f t="shared" si="2"/>
        <v>2020</v>
      </c>
      <c r="I14" s="67">
        <f t="shared" si="2"/>
        <v>2021</v>
      </c>
      <c r="J14" s="67">
        <f t="shared" si="2"/>
        <v>2022</v>
      </c>
      <c r="K14" s="68">
        <f t="shared" si="2"/>
        <v>2023</v>
      </c>
    </row>
    <row r="15" spans="2:27" s="2" customFormat="1" x14ac:dyDescent="0.25">
      <c r="B15" s="69" t="s">
        <v>4</v>
      </c>
      <c r="C15" s="70">
        <v>1</v>
      </c>
      <c r="D15" s="54">
        <f>[11]СМР!$F$22</f>
        <v>4456500</v>
      </c>
      <c r="E15" s="71">
        <f>D15*C15</f>
        <v>4456500</v>
      </c>
      <c r="F15" s="53">
        <f>NPV(M5,G15:K15)</f>
        <v>4313024.5584604042</v>
      </c>
      <c r="G15" s="72">
        <v>0</v>
      </c>
      <c r="H15" s="54">
        <f>D15*30%</f>
        <v>1336950</v>
      </c>
      <c r="I15" s="72">
        <f>([12]договори!$F$8+[12]договори!$F$9+[12]договори!$F$10+[12]договори!$F$13)*60%</f>
        <v>919033.2</v>
      </c>
      <c r="J15" s="54">
        <f>D15-H15-I15-K15</f>
        <v>1754866.7999999998</v>
      </c>
      <c r="K15" s="73">
        <f>D15*10%</f>
        <v>445650</v>
      </c>
    </row>
    <row r="16" spans="2:27" s="2" customFormat="1" ht="15.75" thickBot="1" x14ac:dyDescent="0.3">
      <c r="B16" s="56" t="s">
        <v>16</v>
      </c>
      <c r="C16" s="57">
        <v>3</v>
      </c>
      <c r="D16" s="58">
        <f>[12]договори!$H$70</f>
        <v>13000</v>
      </c>
      <c r="E16" s="59">
        <f>D16*C16</f>
        <v>39000</v>
      </c>
      <c r="F16" s="60">
        <f>NPV(M5,G16:K16)</f>
        <v>37704.227182441864</v>
      </c>
      <c r="G16" s="72">
        <v>0</v>
      </c>
      <c r="H16" s="61">
        <f>E16*30%</f>
        <v>11700</v>
      </c>
      <c r="I16" s="61">
        <v>0</v>
      </c>
      <c r="J16" s="61">
        <f>E16*70%</f>
        <v>27300</v>
      </c>
      <c r="K16" s="62">
        <v>0</v>
      </c>
    </row>
    <row r="17" spans="2:27" s="2" customFormat="1" ht="15.75" thickBot="1" x14ac:dyDescent="0.3"/>
    <row r="18" spans="2:27" s="2" customFormat="1" ht="18.75" x14ac:dyDescent="0.3">
      <c r="B18" s="183"/>
      <c r="C18" s="184">
        <f>C10</f>
        <v>2019</v>
      </c>
      <c r="D18" s="184">
        <f t="shared" ref="D18:AA18" si="3">D10</f>
        <v>2020</v>
      </c>
      <c r="E18" s="184">
        <f t="shared" si="3"/>
        <v>2021</v>
      </c>
      <c r="F18" s="184">
        <f t="shared" si="3"/>
        <v>2022</v>
      </c>
      <c r="G18" s="184">
        <f t="shared" si="3"/>
        <v>2023</v>
      </c>
      <c r="H18" s="184">
        <f t="shared" si="3"/>
        <v>2024</v>
      </c>
      <c r="I18" s="184">
        <f t="shared" si="3"/>
        <v>2025</v>
      </c>
      <c r="J18" s="184">
        <f t="shared" si="3"/>
        <v>2026</v>
      </c>
      <c r="K18" s="184">
        <f t="shared" si="3"/>
        <v>2027</v>
      </c>
      <c r="L18" s="184">
        <f t="shared" si="3"/>
        <v>2028</v>
      </c>
      <c r="M18" s="184">
        <f t="shared" si="3"/>
        <v>2029</v>
      </c>
      <c r="N18" s="184">
        <f t="shared" si="3"/>
        <v>2030</v>
      </c>
      <c r="O18" s="184">
        <f t="shared" si="3"/>
        <v>2031</v>
      </c>
      <c r="P18" s="184">
        <f t="shared" si="3"/>
        <v>2032</v>
      </c>
      <c r="Q18" s="184">
        <f t="shared" si="3"/>
        <v>2033</v>
      </c>
      <c r="R18" s="184">
        <f t="shared" si="3"/>
        <v>2034</v>
      </c>
      <c r="S18" s="184">
        <f t="shared" si="3"/>
        <v>2035</v>
      </c>
      <c r="T18" s="184">
        <f t="shared" si="3"/>
        <v>2036</v>
      </c>
      <c r="U18" s="184">
        <f t="shared" si="3"/>
        <v>2037</v>
      </c>
      <c r="V18" s="184">
        <f t="shared" si="3"/>
        <v>2038</v>
      </c>
      <c r="W18" s="184">
        <f t="shared" si="3"/>
        <v>2039</v>
      </c>
      <c r="X18" s="184">
        <f t="shared" si="3"/>
        <v>2040</v>
      </c>
      <c r="Y18" s="184">
        <f t="shared" si="3"/>
        <v>2041</v>
      </c>
      <c r="Z18" s="184">
        <f t="shared" si="3"/>
        <v>2042</v>
      </c>
      <c r="AA18" s="184">
        <f t="shared" si="3"/>
        <v>2043</v>
      </c>
    </row>
    <row r="19" spans="2:27" s="2" customFormat="1" ht="15.75" thickBot="1" x14ac:dyDescent="0.3">
      <c r="B19" s="56" t="s">
        <v>32</v>
      </c>
      <c r="C19" s="61"/>
      <c r="D19" s="61"/>
      <c r="E19" s="61"/>
      <c r="F19" s="61"/>
      <c r="G19" s="61"/>
      <c r="H19" s="186">
        <f>E15+E16</f>
        <v>4495500</v>
      </c>
      <c r="I19" s="186">
        <f>H19-$H$19*10%</f>
        <v>4045950</v>
      </c>
      <c r="J19" s="186">
        <f t="shared" ref="J19:Q19" si="4">I19-$H$19*10%</f>
        <v>3596400</v>
      </c>
      <c r="K19" s="186">
        <f t="shared" si="4"/>
        <v>3146850</v>
      </c>
      <c r="L19" s="186">
        <f t="shared" si="4"/>
        <v>2697300</v>
      </c>
      <c r="M19" s="186">
        <f t="shared" si="4"/>
        <v>2247750</v>
      </c>
      <c r="N19" s="186">
        <f t="shared" si="4"/>
        <v>1798200</v>
      </c>
      <c r="O19" s="186">
        <f t="shared" si="4"/>
        <v>1348650</v>
      </c>
      <c r="P19" s="186">
        <f t="shared" si="4"/>
        <v>899100</v>
      </c>
      <c r="Q19" s="186">
        <f t="shared" si="4"/>
        <v>449550</v>
      </c>
      <c r="R19" s="186">
        <f>H19</f>
        <v>4495500</v>
      </c>
      <c r="S19" s="186">
        <f t="shared" ref="S19" si="5">I19</f>
        <v>4045950</v>
      </c>
      <c r="T19" s="186">
        <f t="shared" ref="T19" si="6">J19</f>
        <v>3596400</v>
      </c>
      <c r="U19" s="186">
        <f t="shared" ref="U19" si="7">K19</f>
        <v>3146850</v>
      </c>
      <c r="V19" s="186">
        <f t="shared" ref="V19" si="8">L19</f>
        <v>2697300</v>
      </c>
      <c r="W19" s="186">
        <f t="shared" ref="W19" si="9">M19</f>
        <v>2247750</v>
      </c>
      <c r="X19" s="186">
        <f t="shared" ref="X19" si="10">N19</f>
        <v>1798200</v>
      </c>
      <c r="Y19" s="186">
        <f t="shared" ref="Y19" si="11">O19</f>
        <v>1348650</v>
      </c>
      <c r="Z19" s="186">
        <f t="shared" ref="Z19" si="12">P19</f>
        <v>899100</v>
      </c>
      <c r="AA19" s="187">
        <f t="shared" ref="AA19" si="13">Q19</f>
        <v>449550</v>
      </c>
    </row>
    <row r="20" spans="2:27" s="2" customFormat="1" x14ac:dyDescent="0.25">
      <c r="E20" s="232">
        <f>E15+E7</f>
        <v>9428000</v>
      </c>
    </row>
    <row r="21" spans="2:27" s="2" customFormat="1" x14ac:dyDescent="0.25"/>
    <row r="22" spans="2:27" s="2" customFormat="1" x14ac:dyDescent="0.25"/>
    <row r="23" spans="2:27" s="2" customFormat="1" x14ac:dyDescent="0.25"/>
    <row r="24" spans="2:27" s="2" customFormat="1" x14ac:dyDescent="0.25"/>
    <row r="25" spans="2:27" s="2" customFormat="1" x14ac:dyDescent="0.25"/>
    <row r="26" spans="2:27" s="2" customFormat="1" x14ac:dyDescent="0.25"/>
    <row r="27" spans="2:27" s="2" customFormat="1" x14ac:dyDescent="0.25"/>
    <row r="28" spans="2:27" s="2" customFormat="1" x14ac:dyDescent="0.25"/>
    <row r="29" spans="2:27" s="2" customFormat="1" x14ac:dyDescent="0.25"/>
    <row r="30" spans="2:27" s="2" customFormat="1" x14ac:dyDescent="0.25"/>
    <row r="31" spans="2:27" s="2" customFormat="1" x14ac:dyDescent="0.25"/>
    <row r="32" spans="2:27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5" s="2" customFormat="1" x14ac:dyDescent="0.25"/>
    <row r="46" s="2" customFormat="1" x14ac:dyDescent="0.25"/>
    <row r="47" s="2" customFormat="1" x14ac:dyDescent="0.25"/>
    <row r="48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  <row r="267" s="2" customFormat="1" x14ac:dyDescent="0.25"/>
    <row r="268" s="2" customFormat="1" x14ac:dyDescent="0.25"/>
    <row r="269" s="2" customFormat="1" x14ac:dyDescent="0.25"/>
    <row r="270" s="2" customFormat="1" x14ac:dyDescent="0.25"/>
    <row r="271" s="2" customFormat="1" x14ac:dyDescent="0.25"/>
    <row r="272" s="2" customFormat="1" x14ac:dyDescent="0.25"/>
    <row r="273" s="2" customFormat="1" x14ac:dyDescent="0.25"/>
    <row r="274" s="2" customFormat="1" x14ac:dyDescent="0.25"/>
    <row r="275" s="2" customFormat="1" x14ac:dyDescent="0.25"/>
    <row r="276" s="2" customFormat="1" x14ac:dyDescent="0.25"/>
    <row r="277" s="2" customFormat="1" x14ac:dyDescent="0.25"/>
    <row r="278" s="2" customFormat="1" x14ac:dyDescent="0.25"/>
    <row r="279" s="2" customFormat="1" x14ac:dyDescent="0.25"/>
    <row r="280" s="2" customFormat="1" x14ac:dyDescent="0.25"/>
    <row r="281" s="2" customFormat="1" x14ac:dyDescent="0.25"/>
    <row r="282" s="2" customFormat="1" x14ac:dyDescent="0.25"/>
    <row r="283" s="2" customFormat="1" x14ac:dyDescent="0.25"/>
    <row r="284" s="2" customFormat="1" x14ac:dyDescent="0.25"/>
    <row r="285" s="2" customFormat="1" x14ac:dyDescent="0.25"/>
    <row r="286" s="2" customFormat="1" x14ac:dyDescent="0.25"/>
    <row r="287" s="2" customFormat="1" x14ac:dyDescent="0.25"/>
    <row r="288" s="2" customFormat="1" x14ac:dyDescent="0.25"/>
    <row r="289" s="2" customFormat="1" x14ac:dyDescent="0.25"/>
    <row r="290" s="2" customFormat="1" x14ac:dyDescent="0.25"/>
    <row r="291" s="2" customFormat="1" x14ac:dyDescent="0.25"/>
    <row r="292" s="2" customFormat="1" x14ac:dyDescent="0.25"/>
    <row r="293" s="2" customFormat="1" x14ac:dyDescent="0.25"/>
    <row r="294" s="2" customFormat="1" x14ac:dyDescent="0.25"/>
    <row r="295" s="2" customFormat="1" x14ac:dyDescent="0.25"/>
    <row r="296" s="2" customFormat="1" x14ac:dyDescent="0.25"/>
    <row r="297" s="2" customFormat="1" x14ac:dyDescent="0.25"/>
    <row r="298" s="2" customFormat="1" x14ac:dyDescent="0.25"/>
    <row r="299" s="2" customFormat="1" x14ac:dyDescent="0.25"/>
    <row r="300" s="2" customFormat="1" x14ac:dyDescent="0.25"/>
    <row r="301" s="2" customFormat="1" x14ac:dyDescent="0.25"/>
    <row r="302" s="2" customFormat="1" x14ac:dyDescent="0.25"/>
    <row r="303" s="2" customFormat="1" x14ac:dyDescent="0.25"/>
    <row r="304" s="2" customFormat="1" x14ac:dyDescent="0.25"/>
    <row r="305" s="38" customFormat="1" x14ac:dyDescent="0.25"/>
    <row r="306" s="38" customFormat="1" x14ac:dyDescent="0.25"/>
    <row r="307" s="38" customFormat="1" x14ac:dyDescent="0.25"/>
    <row r="308" s="38" customFormat="1" x14ac:dyDescent="0.25"/>
    <row r="309" s="38" customFormat="1" x14ac:dyDescent="0.25"/>
    <row r="310" s="38" customFormat="1" x14ac:dyDescent="0.25"/>
    <row r="311" s="38" customFormat="1" x14ac:dyDescent="0.25"/>
    <row r="312" s="38" customFormat="1" x14ac:dyDescent="0.25"/>
    <row r="313" s="38" customFormat="1" x14ac:dyDescent="0.25"/>
    <row r="314" s="38" customFormat="1" x14ac:dyDescent="0.25"/>
  </sheetData>
  <hyperlinks>
    <hyperlink ref="G4" r:id="rId1"/>
  </hyperlinks>
  <pageMargins left="0.7" right="0.7" top="0.75" bottom="0.75" header="0.3" footer="0.3"/>
  <pageSetup paperSize="9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5"/>
  <sheetViews>
    <sheetView topLeftCell="A15" zoomScaleNormal="100" workbookViewId="0">
      <selection activeCell="E10" sqref="E10"/>
    </sheetView>
  </sheetViews>
  <sheetFormatPr defaultRowHeight="15" x14ac:dyDescent="0.25"/>
  <cols>
    <col min="1" max="1" width="4" style="2" customWidth="1"/>
    <col min="2" max="2" width="0.85546875" customWidth="1"/>
    <col min="3" max="3" width="25.28515625" style="35" customWidth="1"/>
    <col min="4" max="4" width="8.85546875" customWidth="1"/>
    <col min="5" max="5" width="9.5703125" bestFit="1" customWidth="1"/>
    <col min="8" max="8" width="8.42578125" customWidth="1"/>
    <col min="9" max="15" width="9.28515625" customWidth="1"/>
    <col min="16" max="16" width="8.28515625" customWidth="1"/>
    <col min="17" max="17" width="7.140625" customWidth="1"/>
    <col min="18" max="19" width="9.28515625" customWidth="1"/>
    <col min="20" max="20" width="7.140625" customWidth="1"/>
    <col min="21" max="21" width="9.7109375" customWidth="1"/>
    <col min="22" max="25" width="9.28515625" customWidth="1"/>
    <col min="26" max="26" width="8.7109375" customWidth="1"/>
    <col min="27" max="27" width="9.5703125" customWidth="1"/>
    <col min="28" max="28" width="9.28515625" customWidth="1"/>
    <col min="30" max="30" width="0.85546875" customWidth="1"/>
    <col min="31" max="70" width="9.28515625" style="2"/>
  </cols>
  <sheetData>
    <row r="1" spans="1:70" s="2" customFormat="1" ht="15.75" thickBot="1" x14ac:dyDescent="0.3">
      <c r="C1" s="26"/>
    </row>
    <row r="2" spans="1:70" s="2" customFormat="1" x14ac:dyDescent="0.25">
      <c r="C2" s="26"/>
      <c r="D2" s="256" t="str">
        <f>'[11]Приходи-допускания'!$D$2</f>
        <v>Проект: Доставка, монтаж и въвеждане в експлоатация на  пристанищни приемни съоръжения (ППС) в българските пристанища за обществен транспорт с национално значение</v>
      </c>
      <c r="E2" s="257"/>
      <c r="F2" s="257"/>
      <c r="G2" s="257"/>
      <c r="H2" s="257"/>
      <c r="I2" s="258"/>
    </row>
    <row r="3" spans="1:70" s="2" customFormat="1" x14ac:dyDescent="0.25">
      <c r="C3" s="26"/>
      <c r="D3" s="259"/>
      <c r="E3" s="260"/>
      <c r="F3" s="260"/>
      <c r="G3" s="260"/>
      <c r="H3" s="260"/>
      <c r="I3" s="261"/>
    </row>
    <row r="4" spans="1:70" s="2" customFormat="1" ht="15.75" thickBot="1" x14ac:dyDescent="0.3">
      <c r="C4" s="26"/>
      <c r="D4" s="262" t="str">
        <f>'[11]Приходи-допускания'!$D$4</f>
        <v>Държавно предприятие Пристанищна инфраструктура</v>
      </c>
      <c r="E4" s="263"/>
      <c r="F4" s="263"/>
      <c r="G4" s="263"/>
      <c r="H4" s="263"/>
      <c r="I4" s="264"/>
    </row>
    <row r="5" spans="1:70" s="2" customFormat="1" x14ac:dyDescent="0.25">
      <c r="C5" s="26"/>
      <c r="D5" s="2">
        <f>D10+D16</f>
        <v>2649</v>
      </c>
    </row>
    <row r="6" spans="1:70" s="2" customFormat="1" ht="19.350000000000001" customHeight="1" x14ac:dyDescent="0.3">
      <c r="C6" s="265" t="s">
        <v>21</v>
      </c>
      <c r="D6" s="265"/>
      <c r="E6" s="265"/>
      <c r="F6" s="265"/>
      <c r="G6" s="265"/>
      <c r="H6" s="265"/>
      <c r="I6" s="265"/>
      <c r="J6" s="265"/>
      <c r="K6" s="265"/>
    </row>
    <row r="7" spans="1:70" ht="3" customHeight="1" thickBot="1" x14ac:dyDescent="0.3">
      <c r="B7" s="3"/>
      <c r="C7" s="27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</row>
    <row r="8" spans="1:70" s="1" customFormat="1" ht="11.65" customHeight="1" thickBot="1" x14ac:dyDescent="0.3">
      <c r="A8" s="4"/>
      <c r="B8" s="5"/>
      <c r="C8" s="28" t="s">
        <v>9</v>
      </c>
      <c r="D8" s="6">
        <v>2018</v>
      </c>
      <c r="E8" s="6">
        <f>D8+1</f>
        <v>2019</v>
      </c>
      <c r="F8" s="6">
        <f t="shared" ref="F8:AC8" si="0">E8+1</f>
        <v>2020</v>
      </c>
      <c r="G8" s="6">
        <f t="shared" si="0"/>
        <v>2021</v>
      </c>
      <c r="H8" s="6">
        <f t="shared" si="0"/>
        <v>2022</v>
      </c>
      <c r="I8" s="6">
        <f t="shared" si="0"/>
        <v>2023</v>
      </c>
      <c r="J8" s="6">
        <f t="shared" si="0"/>
        <v>2024</v>
      </c>
      <c r="K8" s="6">
        <f t="shared" si="0"/>
        <v>2025</v>
      </c>
      <c r="L8" s="6">
        <f t="shared" si="0"/>
        <v>2026</v>
      </c>
      <c r="M8" s="6">
        <f t="shared" si="0"/>
        <v>2027</v>
      </c>
      <c r="N8" s="6">
        <f t="shared" si="0"/>
        <v>2028</v>
      </c>
      <c r="O8" s="6">
        <f t="shared" si="0"/>
        <v>2029</v>
      </c>
      <c r="P8" s="6">
        <f t="shared" si="0"/>
        <v>2030</v>
      </c>
      <c r="Q8" s="6">
        <f t="shared" si="0"/>
        <v>2031</v>
      </c>
      <c r="R8" s="6">
        <f t="shared" si="0"/>
        <v>2032</v>
      </c>
      <c r="S8" s="6">
        <f t="shared" si="0"/>
        <v>2033</v>
      </c>
      <c r="T8" s="6">
        <f t="shared" si="0"/>
        <v>2034</v>
      </c>
      <c r="U8" s="6">
        <f t="shared" si="0"/>
        <v>2035</v>
      </c>
      <c r="V8" s="6">
        <f t="shared" si="0"/>
        <v>2036</v>
      </c>
      <c r="W8" s="6">
        <f t="shared" si="0"/>
        <v>2037</v>
      </c>
      <c r="X8" s="6">
        <f t="shared" si="0"/>
        <v>2038</v>
      </c>
      <c r="Y8" s="6">
        <f t="shared" si="0"/>
        <v>2039</v>
      </c>
      <c r="Z8" s="6">
        <f t="shared" si="0"/>
        <v>2040</v>
      </c>
      <c r="AA8" s="6">
        <f t="shared" si="0"/>
        <v>2041</v>
      </c>
      <c r="AB8" s="6">
        <f t="shared" si="0"/>
        <v>2042</v>
      </c>
      <c r="AC8" s="7">
        <f t="shared" si="0"/>
        <v>2043</v>
      </c>
      <c r="AD8" s="5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</row>
    <row r="9" spans="1:70" ht="13.7" customHeight="1" x14ac:dyDescent="0.25">
      <c r="B9" s="3"/>
      <c r="C9" s="29" t="s">
        <v>10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9"/>
      <c r="AD9" s="3"/>
    </row>
    <row r="10" spans="1:70" s="15" customFormat="1" x14ac:dyDescent="0.25">
      <c r="A10" s="10"/>
      <c r="B10" s="11"/>
      <c r="C10" s="30" t="s">
        <v>11</v>
      </c>
      <c r="D10" s="12">
        <v>1247</v>
      </c>
      <c r="E10" s="13">
        <f>D10*(1+'[11]Статистика-морски'!$I$9)</f>
        <v>1287.4446267602298</v>
      </c>
      <c r="F10" s="13">
        <f>E10*(1+'[11]Статистика-морски'!$I$9)</f>
        <v>1329.2010160174718</v>
      </c>
      <c r="G10" s="13">
        <f>F10*(1+'[11]Статистика-морски'!$I$9)</f>
        <v>1372.3117128756473</v>
      </c>
      <c r="H10" s="13">
        <f>G10*(1+'[11]Статистика-морски'!$I$9)</f>
        <v>1416.8206423270885</v>
      </c>
      <c r="I10" s="13">
        <f>H10*(1+'[11]Статистика-морски'!$I$9)</f>
        <v>1462.7731540072073</v>
      </c>
      <c r="J10" s="13">
        <f>I10*(1+'[11]Статистика-морски'!$I$9)</f>
        <v>1510.2160684007163</v>
      </c>
      <c r="K10" s="13">
        <f>J10*(1+'[11]Статистика-морски'!$I$9)</f>
        <v>1559.1977245464811</v>
      </c>
      <c r="L10" s="13">
        <f>K10*(1+'[11]Статистика-морски'!$I$9)</f>
        <v>1609.7680292896102</v>
      </c>
      <c r="M10" s="13">
        <f>L10*(1+'[11]Статистика-морски'!$I$9)</f>
        <v>1661.9785081309647</v>
      </c>
      <c r="N10" s="13">
        <f>M10*(1+'[11]Статистика-морски'!$I$9)</f>
        <v>1715.8823577258968</v>
      </c>
      <c r="O10" s="13">
        <f>N10*(1+'[11]Статистика-морски'!$I$9)</f>
        <v>1771.5345000857101</v>
      </c>
      <c r="P10" s="13">
        <f>O10*(1+'[11]Статистика-морски'!$I$9)</f>
        <v>1828.991638537063</v>
      </c>
      <c r="Q10" s="13">
        <f>P10*(1+2%)</f>
        <v>1865.5714713078044</v>
      </c>
      <c r="R10" s="13">
        <f t="shared" ref="R10:AC10" si="1">Q10*(1+2%)</f>
        <v>1902.8829007339605</v>
      </c>
      <c r="S10" s="13">
        <f t="shared" si="1"/>
        <v>1940.9405587486397</v>
      </c>
      <c r="T10" s="13">
        <f t="shared" si="1"/>
        <v>1979.7593699236124</v>
      </c>
      <c r="U10" s="13">
        <f t="shared" si="1"/>
        <v>2019.3545573220847</v>
      </c>
      <c r="V10" s="13">
        <f t="shared" si="1"/>
        <v>2059.7416484685264</v>
      </c>
      <c r="W10" s="13">
        <f t="shared" si="1"/>
        <v>2100.9364814378969</v>
      </c>
      <c r="X10" s="13">
        <f t="shared" si="1"/>
        <v>2142.955211066655</v>
      </c>
      <c r="Y10" s="13">
        <f t="shared" si="1"/>
        <v>2185.8143152879879</v>
      </c>
      <c r="Z10" s="13">
        <f t="shared" si="1"/>
        <v>2229.5306015937476</v>
      </c>
      <c r="AA10" s="13">
        <f t="shared" si="1"/>
        <v>2274.1212136256227</v>
      </c>
      <c r="AB10" s="13">
        <f t="shared" si="1"/>
        <v>2319.6036378981353</v>
      </c>
      <c r="AC10" s="14">
        <f t="shared" si="1"/>
        <v>2365.9957106560978</v>
      </c>
      <c r="AD10" s="11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</row>
    <row r="11" spans="1:70" ht="45" x14ac:dyDescent="0.25">
      <c r="B11" s="3"/>
      <c r="C11" s="30" t="s">
        <v>20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7"/>
      <c r="AD11" s="3"/>
    </row>
    <row r="12" spans="1:70" ht="30" x14ac:dyDescent="0.25">
      <c r="B12" s="3"/>
      <c r="C12" s="31" t="str">
        <f>'[11]Статистика-морски'!A44</f>
        <v>Анекс I- нефтени замърсявания</v>
      </c>
      <c r="D12" s="18">
        <f>'[11]Статистика-морски'!F49</f>
        <v>2436.36</v>
      </c>
      <c r="E12" s="18">
        <f>E10*'[11]Статистика-морски'!$H$49</f>
        <v>2604.4937095379632</v>
      </c>
      <c r="F12" s="18">
        <f>F10*'[11]Статистика-морски'!$H$49</f>
        <v>2688.966665417377</v>
      </c>
      <c r="G12" s="18">
        <f>G10*'[11]Статистика-морски'!$H$49</f>
        <v>2776.1793784514634</v>
      </c>
      <c r="H12" s="18">
        <f>H10*'[11]Статистика-морски'!$H$49</f>
        <v>2866.2207086687176</v>
      </c>
      <c r="I12" s="18">
        <f>I10*'[11]Статистика-морски'!$H$49</f>
        <v>2959.1823981430939</v>
      </c>
      <c r="J12" s="18">
        <f>J10*'[11]Статистика-морски'!$H$49</f>
        <v>3055.1591644689474</v>
      </c>
      <c r="K12" s="18">
        <f>K10*'[11]Статистика-морски'!$H$49</f>
        <v>3154.2487972676986</v>
      </c>
      <c r="L12" s="18">
        <f>L10*'[11]Статистика-морски'!$H$49</f>
        <v>3256.5522578245518</v>
      </c>
      <c r="M12" s="18">
        <f>M10*'[11]Статистика-морски'!$H$49</f>
        <v>3362.173781956787</v>
      </c>
      <c r="N12" s="18">
        <f>N10*'[11]Статистика-морски'!$H$49</f>
        <v>3471.2209862184332</v>
      </c>
      <c r="O12" s="18">
        <f>O10*'[11]Статистика-морски'!$H$49</f>
        <v>3583.8049775495329</v>
      </c>
      <c r="P12" s="18">
        <f>P10*'[11]Статистика-морски'!$H$49</f>
        <v>3700.0404664817261</v>
      </c>
      <c r="Q12" s="18">
        <f>Q10*'[11]Статистика-морски'!$H$49</f>
        <v>3774.0412758113612</v>
      </c>
      <c r="R12" s="18">
        <f>R10*'[11]Статистика-морски'!$H$49</f>
        <v>3849.5221013275882</v>
      </c>
      <c r="S12" s="18">
        <f>S10*'[11]Статистика-морски'!$H$49</f>
        <v>3926.5125433541402</v>
      </c>
      <c r="T12" s="18">
        <f>T10*'[11]Статистика-морски'!$H$49</f>
        <v>4005.0427942212227</v>
      </c>
      <c r="U12" s="18">
        <f>U10*'[11]Статистика-морски'!$H$49</f>
        <v>4085.1436501056473</v>
      </c>
      <c r="V12" s="18">
        <f>V10*'[11]Статистика-морски'!$H$49</f>
        <v>4166.8465231077598</v>
      </c>
      <c r="W12" s="18">
        <f>W10*'[11]Статистика-морски'!$H$49</f>
        <v>4250.1834535699154</v>
      </c>
      <c r="X12" s="18">
        <f>X10*'[11]Статистика-морски'!$H$49</f>
        <v>4335.1871226413141</v>
      </c>
      <c r="Y12" s="18">
        <f>Y10*'[11]Статистика-морски'!$H$49</f>
        <v>4421.8908650941403</v>
      </c>
      <c r="Z12" s="18">
        <f>Z10*'[11]Статистика-морски'!$H$49</f>
        <v>4510.3286823960225</v>
      </c>
      <c r="AA12" s="18">
        <f>AA10*'[11]Статистика-морски'!$H$49</f>
        <v>4600.5352560439433</v>
      </c>
      <c r="AB12" s="18">
        <f>AB10*'[11]Статистика-морски'!$H$49</f>
        <v>4692.5459611648221</v>
      </c>
      <c r="AC12" s="19">
        <f>AC10*'[11]Статистика-морски'!$H$49</f>
        <v>4786.3968803881189</v>
      </c>
      <c r="AD12" s="3"/>
    </row>
    <row r="13" spans="1:70" x14ac:dyDescent="0.25">
      <c r="B13" s="3"/>
      <c r="C13" s="31" t="str">
        <f>'[11]Статистика-морски'!A45</f>
        <v>Анекс IV- отпадъчни води</v>
      </c>
      <c r="D13" s="18">
        <f>'[11]Статистика-морски'!F50</f>
        <v>164.06333333333333</v>
      </c>
      <c r="E13" s="18">
        <f>E10*'[11]Статистика-морски'!$H$50</f>
        <v>175.38537803629049</v>
      </c>
      <c r="F13" s="18">
        <f>F10*'[11]Статистика-морски'!$H$50</f>
        <v>181.0737470450151</v>
      </c>
      <c r="G13" s="18">
        <f>G10*'[11]Статистика-морски'!$H$50</f>
        <v>186.94661000837669</v>
      </c>
      <c r="H13" s="18">
        <f>H10*'[11]Статистика-морски'!$H$50</f>
        <v>193.00995071878489</v>
      </c>
      <c r="I13" s="18">
        <f>I10*'[11]Статистика-морски'!$H$50</f>
        <v>199.26994704423123</v>
      </c>
      <c r="J13" s="18">
        <f>J10*'[11]Статистика-морски'!$H$50</f>
        <v>205.73297722284767</v>
      </c>
      <c r="K13" s="18">
        <f>K10*'[11]Статистика-морски'!$H$50</f>
        <v>212.40562636161988</v>
      </c>
      <c r="L13" s="18">
        <f>L10*'[11]Статистика-морски'!$H$50</f>
        <v>219.29469314587692</v>
      </c>
      <c r="M13" s="18">
        <f>M10*'[11]Статистика-морски'!$H$50</f>
        <v>226.40719676639347</v>
      </c>
      <c r="N13" s="18">
        <f>N10*'[11]Статистика-морски'!$H$50</f>
        <v>233.75038407116224</v>
      </c>
      <c r="O13" s="18">
        <f>O10*'[11]Статистика-морски'!$H$50</f>
        <v>241.33173694912421</v>
      </c>
      <c r="P13" s="18">
        <f>P10*'[11]Статистика-морски'!$H$50</f>
        <v>249.15897995337866</v>
      </c>
      <c r="Q13" s="18">
        <f>Q10*'[11]Статистика-морски'!$H$50</f>
        <v>254.14215955244626</v>
      </c>
      <c r="R13" s="18">
        <f>R10*'[11]Статистика-морски'!$H$50</f>
        <v>259.22500274349517</v>
      </c>
      <c r="S13" s="18">
        <f>S10*'[11]Статистика-морски'!$H$50</f>
        <v>264.40950279836511</v>
      </c>
      <c r="T13" s="18">
        <f>T10*'[11]Статистика-морски'!$H$50</f>
        <v>269.69769285433239</v>
      </c>
      <c r="U13" s="18">
        <f>U10*'[11]Статистика-морски'!$H$50</f>
        <v>275.09164671141906</v>
      </c>
      <c r="V13" s="18">
        <f>V10*'[11]Статистика-морски'!$H$50</f>
        <v>280.59347964564739</v>
      </c>
      <c r="W13" s="18">
        <f>W10*'[11]Статистика-морски'!$H$50</f>
        <v>286.20534923856036</v>
      </c>
      <c r="X13" s="18">
        <f>X10*'[11]Статистика-морски'!$H$50</f>
        <v>291.92945622333161</v>
      </c>
      <c r="Y13" s="18">
        <f>Y10*'[11]Статистика-морски'!$H$50</f>
        <v>297.76804534779819</v>
      </c>
      <c r="Z13" s="18">
        <f>Z10*'[11]Статистика-морски'!$H$50</f>
        <v>303.72340625475414</v>
      </c>
      <c r="AA13" s="18">
        <f>AA10*'[11]Статистика-морски'!$H$50</f>
        <v>309.79787437984925</v>
      </c>
      <c r="AB13" s="18">
        <f>AB10*'[11]Статистика-морски'!$H$50</f>
        <v>315.99383186744626</v>
      </c>
      <c r="AC13" s="19">
        <f>AC10*'[11]Статистика-морски'!$H$50</f>
        <v>322.31370850479516</v>
      </c>
      <c r="AD13" s="3"/>
    </row>
    <row r="14" spans="1:70" ht="15.75" thickBot="1" x14ac:dyDescent="0.3">
      <c r="B14" s="3"/>
      <c r="C14" s="32" t="str">
        <f>'[11]Статистика-морски'!A46</f>
        <v>Анекс V- битови отпадъци</v>
      </c>
      <c r="D14" s="20">
        <f>'[11]Статистика-морски'!F51</f>
        <v>872.50666666666666</v>
      </c>
      <c r="E14" s="20">
        <f>E10*'[11]Статистика-морски'!$H$51</f>
        <v>932.71853291930165</v>
      </c>
      <c r="F14" s="20">
        <f>F10*'[11]Статистика-морски'!$H$51</f>
        <v>962.96989854582148</v>
      </c>
      <c r="G14" s="20">
        <f>G10*'[11]Статистика-морски'!$H$51</f>
        <v>994.20242310718652</v>
      </c>
      <c r="H14" s="20">
        <f>H10*'[11]Статистика-морски'!$H$51</f>
        <v>1026.447929062829</v>
      </c>
      <c r="I14" s="20">
        <f>I10*'[11]Статистика-морски'!$H$51</f>
        <v>1059.7392709872531</v>
      </c>
      <c r="J14" s="20">
        <f>J10*'[11]Статистика-морски'!$H$51</f>
        <v>1094.1103690451821</v>
      </c>
      <c r="K14" s="20">
        <f>K10*'[11]Статистика-морски'!$H$51</f>
        <v>1129.5962435524234</v>
      </c>
      <c r="L14" s="20">
        <f>L10*'[11]Статистика-морски'!$H$51</f>
        <v>1166.2330506576643</v>
      </c>
      <c r="M14" s="20">
        <f>M10*'[11]Статистика-морски'!$H$51</f>
        <v>1204.0581191815563</v>
      </c>
      <c r="N14" s="20">
        <f>N10*'[11]Статистика-морски'!$H$51</f>
        <v>1243.1099886506199</v>
      </c>
      <c r="O14" s="20">
        <f>O10*'[11]Статистика-морски'!$H$51</f>
        <v>1283.428448564724</v>
      </c>
      <c r="P14" s="20">
        <f>P10*'[11]Статистика-морски'!$H$51</f>
        <v>1325.0545789381492</v>
      </c>
      <c r="Q14" s="20">
        <f>Q10*'[11]Статистика-морски'!$H$51</f>
        <v>1351.5556705169124</v>
      </c>
      <c r="R14" s="20">
        <f>R10*'[11]Статистика-морски'!$H$51</f>
        <v>1378.5867839272507</v>
      </c>
      <c r="S14" s="20">
        <f>S10*'[11]Статистика-морски'!$H$51</f>
        <v>1406.1585196057956</v>
      </c>
      <c r="T14" s="20">
        <f>T10*'[11]Статистика-морски'!$H$51</f>
        <v>1434.2816899979116</v>
      </c>
      <c r="U14" s="20">
        <f>U10*'[11]Статистика-морски'!$H$51</f>
        <v>1462.9673237978698</v>
      </c>
      <c r="V14" s="20">
        <f>V10*'[11]Статистика-морски'!$H$51</f>
        <v>1492.2266702738273</v>
      </c>
      <c r="W14" s="20">
        <f>W10*'[11]Статистика-морски'!$H$51</f>
        <v>1522.0712036793036</v>
      </c>
      <c r="X14" s="20">
        <f>X10*'[11]Статистика-морски'!$H$51</f>
        <v>1552.51262775289</v>
      </c>
      <c r="Y14" s="20">
        <f>Y10*'[11]Статистика-морски'!$H$51</f>
        <v>1583.5628803079476</v>
      </c>
      <c r="Z14" s="20">
        <f>Z10*'[11]Статистика-морски'!$H$51</f>
        <v>1615.2341379141064</v>
      </c>
      <c r="AA14" s="20">
        <f>AA10*'[11]Статистика-морски'!$H$51</f>
        <v>1647.5388206723887</v>
      </c>
      <c r="AB14" s="20">
        <f>AB10*'[11]Статистика-морски'!$H$51</f>
        <v>1680.4895970858365</v>
      </c>
      <c r="AC14" s="21">
        <f>AC10*'[11]Статистика-морски'!$H$51</f>
        <v>1714.0993890275531</v>
      </c>
      <c r="AD14" s="3"/>
    </row>
    <row r="15" spans="1:70" x14ac:dyDescent="0.25">
      <c r="B15" s="3"/>
      <c r="C15" s="29" t="s">
        <v>12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9"/>
      <c r="AD15" s="3"/>
    </row>
    <row r="16" spans="1:70" s="15" customFormat="1" x14ac:dyDescent="0.25">
      <c r="A16" s="10"/>
      <c r="B16" s="11"/>
      <c r="C16" s="30" t="str">
        <f>C10</f>
        <v>брой кораби</v>
      </c>
      <c r="D16" s="12">
        <f>'[11]Брой посещения'!E21</f>
        <v>1402</v>
      </c>
      <c r="E16" s="13">
        <f>'[11]Брой посещения'!F21*1.85</f>
        <v>1470.75</v>
      </c>
      <c r="F16" s="13">
        <f>E16*(1+'[11]Статистика-морски'!$I$9)</f>
        <v>1518.4516317623161</v>
      </c>
      <c r="G16" s="13">
        <f>F16*(1+'[11]Статистика-морски'!$I$9)</f>
        <v>1567.7003963975117</v>
      </c>
      <c r="H16" s="13">
        <f>G16*(1+'[11]Статистика-морски'!$I$9)</f>
        <v>1618.5464729044577</v>
      </c>
      <c r="I16" s="13">
        <f>H16*(1+'[11]Статистика-морски'!$I$9)</f>
        <v>1671.0416677646881</v>
      </c>
      <c r="J16" s="13">
        <f>I16*(1+'[11]Статистика-морски'!$I$9)</f>
        <v>1725.2394677274265</v>
      </c>
      <c r="K16" s="13">
        <f>J16*(1+'[11]Статистика-морски'!$I$9)</f>
        <v>1781.1950943066192</v>
      </c>
      <c r="L16" s="13">
        <f>K16*(1+'[11]Статистика-морски'!$I$9)</f>
        <v>1838.9655600454994</v>
      </c>
      <c r="M16" s="13">
        <f>L16*(1+'[11]Статистика-морски'!$I$9)</f>
        <v>1898.6097266060103</v>
      </c>
      <c r="N16" s="13">
        <f>M16*(1+'[11]Статистика-морски'!$I$9)</f>
        <v>1960.1883647422751</v>
      </c>
      <c r="O16" s="13">
        <f>N16*(1+'[11]Статистика-морски'!$I$9)</f>
        <v>2023.7642162192171</v>
      </c>
      <c r="P16" s="13">
        <f>O16*(1+'[11]Статистика-морски'!$I$9)</f>
        <v>2089.4020577394217</v>
      </c>
      <c r="Q16" s="13">
        <f>P16*(1+'[11]Статистика-морски'!$I$9)</f>
        <v>2157.1687669433727</v>
      </c>
      <c r="R16" s="13">
        <f>Q16*(1+'[11]Статистика-морски'!$I$9)</f>
        <v>2227.1333905503093</v>
      </c>
      <c r="S16" s="13">
        <f>R16*(1+'[11]Статистика-морски'!$I$9)</f>
        <v>2299.3672147091324</v>
      </c>
      <c r="T16" s="13">
        <f>S16*(1+'[11]Статистика-морски'!$I$9)</f>
        <v>2373.9438376310413</v>
      </c>
      <c r="U16" s="13">
        <f>T16*(1+'[11]Статистика-морски'!$I$9)</f>
        <v>2450.9392445779017</v>
      </c>
      <c r="V16" s="13">
        <f>U16*(1+'[11]Статистика-морски'!$I$9)</f>
        <v>2530.4318852827555</v>
      </c>
      <c r="W16" s="13">
        <f>V16*(1+'[11]Статистика-морски'!$I$9)</f>
        <v>2612.5027538813488</v>
      </c>
      <c r="X16" s="13">
        <f>W16*(1+'[11]Статистика-морски'!$I$9)</f>
        <v>2697.2354714361231</v>
      </c>
      <c r="Y16" s="13">
        <f>X16*(1+'[11]Статистика-морски'!$I$9)</f>
        <v>2784.7163711367539</v>
      </c>
      <c r="Z16" s="13">
        <f>Y16*(1+'[11]Статистика-морски'!$I$9)</f>
        <v>2875.0345862640415</v>
      </c>
      <c r="AA16" s="13">
        <f>Z16*(1+'[11]Статистика-морски'!$I$9)</f>
        <v>2968.282141006785</v>
      </c>
      <c r="AB16" s="13">
        <f>AA16*(1+'[11]Статистика-морски'!$I$9)</f>
        <v>3064.5540442241668</v>
      </c>
      <c r="AC16" s="14">
        <f>AB16*(1+'[11]Статистика-морски'!$I$9)</f>
        <v>3163.9483862491861</v>
      </c>
      <c r="AD16" s="11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</row>
    <row r="17" spans="1:70" s="15" customFormat="1" ht="12.95" customHeight="1" x14ac:dyDescent="0.25">
      <c r="A17" s="10"/>
      <c r="B17" s="11"/>
      <c r="C17" s="253" t="str">
        <f t="shared" ref="C17:C20" si="2">C11</f>
        <v>количества отпадъци в м³ по видове отпадъци годишно</v>
      </c>
      <c r="D17" s="254"/>
      <c r="E17" s="254"/>
      <c r="F17" s="254"/>
      <c r="G17" s="254"/>
      <c r="H17" s="255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22"/>
      <c r="AD17" s="11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</row>
    <row r="18" spans="1:70" ht="30" x14ac:dyDescent="0.25">
      <c r="B18" s="3"/>
      <c r="C18" s="31" t="str">
        <f t="shared" si="2"/>
        <v>Анекс I- нефтени замърсявания</v>
      </c>
      <c r="D18" s="18">
        <f>'[11]Статистика-морски'!F44</f>
        <v>6884.0826000000006</v>
      </c>
      <c r="E18" s="18">
        <f>E16*'[11]Статистика-морски'!$H$44</f>
        <v>6787.5516093519554</v>
      </c>
      <c r="F18" s="18">
        <f>F16*'[11]Статистика-морски'!$H$44</f>
        <v>7007.6959489317769</v>
      </c>
      <c r="G18" s="18">
        <f>G16*'[11]Статистика-морски'!$H$44</f>
        <v>7234.9803491753382</v>
      </c>
      <c r="H18" s="18">
        <f>H16*'[11]Статистика-морски'!$H$44</f>
        <v>7469.6363875394072</v>
      </c>
      <c r="I18" s="18">
        <f>I16*'[11]Статистика-морски'!$H$44</f>
        <v>7711.9031523579015</v>
      </c>
      <c r="J18" s="18">
        <f>J16*'[11]Статистика-морски'!$H$44</f>
        <v>7962.0274864462381</v>
      </c>
      <c r="K18" s="18">
        <f>K16*'[11]Статистика-морски'!$H$44</f>
        <v>8220.2642386066309</v>
      </c>
      <c r="L18" s="18">
        <f>L16*'[11]Статистика-морски'!$H$44</f>
        <v>8486.8765232905989</v>
      </c>
      <c r="M18" s="18">
        <f>M16*'[11]Статистика-морски'!$H$44</f>
        <v>8762.1359886832579</v>
      </c>
      <c r="N18" s="18">
        <f>N16*'[11]Статистика-морски'!$H$44</f>
        <v>9046.3230934825133</v>
      </c>
      <c r="O18" s="18">
        <f>O16*'[11]Статистика-морски'!$H$44</f>
        <v>9339.7273926552061</v>
      </c>
      <c r="P18" s="18">
        <f>P16*'[11]Статистика-морски'!$H$44</f>
        <v>9642.647832461329</v>
      </c>
      <c r="Q18" s="18">
        <f>Q16*'[11]Статистика-морски'!$H$44</f>
        <v>9955.3930550469231</v>
      </c>
      <c r="R18" s="18">
        <f>R16*'[11]Статистика-морски'!$H$44</f>
        <v>10278.281712916014</v>
      </c>
      <c r="S18" s="18">
        <f>S16*'[11]Статистика-морски'!$H$44</f>
        <v>10611.642793601968</v>
      </c>
      <c r="T18" s="18">
        <f>T16*'[11]Статистика-морски'!$H$44</f>
        <v>10955.815954869102</v>
      </c>
      <c r="U18" s="18">
        <f>U16*'[11]Статистика-морски'!$H$44</f>
        <v>11311.151870786063</v>
      </c>
      <c r="V18" s="18">
        <f>V16*'[11]Статистика-морски'!$H$44</f>
        <v>11678.012589023607</v>
      </c>
      <c r="W18" s="18">
        <f>W16*'[11]Статистика-морски'!$H$44</f>
        <v>12056.771899740788</v>
      </c>
      <c r="X18" s="18">
        <f>X16*'[11]Статистика-морски'!$H$44</f>
        <v>12447.815716435449</v>
      </c>
      <c r="Y18" s="18">
        <f>Y16*'[11]Статистика-морски'!$H$44</f>
        <v>12851.542469147042</v>
      </c>
      <c r="Z18" s="18">
        <f>Z16*'[11]Статистика-морски'!$H$44</f>
        <v>13268.363510412393</v>
      </c>
      <c r="AA18" s="18">
        <f>AA16*'[11]Статистика-морски'!$H$44</f>
        <v>13698.703534388082</v>
      </c>
      <c r="AB18" s="18">
        <f>AB16*'[11]Статистика-морски'!$H$44</f>
        <v>14143.001009566402</v>
      </c>
      <c r="AC18" s="19">
        <f>AC16*'[11]Статистика-морски'!$H$44</f>
        <v>14601.708625525878</v>
      </c>
      <c r="AD18" s="3"/>
    </row>
    <row r="19" spans="1:70" x14ac:dyDescent="0.25">
      <c r="B19" s="3"/>
      <c r="C19" s="31" t="str">
        <f t="shared" si="2"/>
        <v>Анекс IV- отпадъчни води</v>
      </c>
      <c r="D19" s="18">
        <f>'[11]Статистика-морски'!F45</f>
        <v>164.50039999999998</v>
      </c>
      <c r="E19" s="18">
        <f>E16*'[11]Статистика-морски'!$H$45</f>
        <v>162.19371841340779</v>
      </c>
      <c r="F19" s="18">
        <f>F16*'[11]Статистика-морски'!$H$45</f>
        <v>167.45423517690747</v>
      </c>
      <c r="G19" s="18">
        <f>G16*'[11]Статистика-морски'!$H$45</f>
        <v>172.8853691313179</v>
      </c>
      <c r="H19" s="18">
        <f>H16*'[11]Статистика-морски'!$H$45</f>
        <v>178.49265399645077</v>
      </c>
      <c r="I19" s="18">
        <f>I16*'[11]Статистика-морски'!$H$45</f>
        <v>184.28180297025133</v>
      </c>
      <c r="J19" s="18">
        <f>J16*'[11]Статистика-морски'!$H$45</f>
        <v>190.25871454990974</v>
      </c>
      <c r="K19" s="18">
        <f>K16*'[11]Статистика-морски'!$H$45</f>
        <v>196.429478541772</v>
      </c>
      <c r="L19" s="18">
        <f>L16*'[11]Статистика-морски'!$H$45</f>
        <v>202.80038226617339</v>
      </c>
      <c r="M19" s="18">
        <f>M16*'[11]Статистика-морски'!$H$45</f>
        <v>209.37791696351684</v>
      </c>
      <c r="N19" s="18">
        <f>N16*'[11]Статистика-морски'!$H$45</f>
        <v>216.16878440812297</v>
      </c>
      <c r="O19" s="18">
        <f>O16*'[11]Статистика-морски'!$H$45</f>
        <v>223.1799037365906</v>
      </c>
      <c r="P19" s="18">
        <f>P16*'[11]Статистика-морски'!$H$45</f>
        <v>230.41841849762542</v>
      </c>
      <c r="Q19" s="18">
        <f>Q16*'[11]Статистика-морски'!$H$45</f>
        <v>237.89170393051947</v>
      </c>
      <c r="R19" s="18">
        <f>R16*'[11]Статистика-морски'!$H$45</f>
        <v>245.60737447969746</v>
      </c>
      <c r="S19" s="18">
        <f>S16*'[11]Статистика-морски'!$H$45</f>
        <v>253.57329155298646</v>
      </c>
      <c r="T19" s="18">
        <f>T16*'[11]Статистика-морски'!$H$45</f>
        <v>261.79757153151371</v>
      </c>
      <c r="U19" s="18">
        <f>U16*'[11]Статистика-морски'!$H$45</f>
        <v>270.2885940393939</v>
      </c>
      <c r="V19" s="18">
        <f>V16*'[11]Статистика-морски'!$H$45</f>
        <v>279.05501048163171</v>
      </c>
      <c r="W19" s="18">
        <f>W16*'[11]Статистика-морски'!$H$45</f>
        <v>288.10575285893856</v>
      </c>
      <c r="X19" s="18">
        <f>X16*'[11]Статистика-морски'!$H$45</f>
        <v>297.45004286844522</v>
      </c>
      <c r="Y19" s="18">
        <f>Y16*'[11]Статистика-морски'!$H$45</f>
        <v>307.09740129958283</v>
      </c>
      <c r="Z19" s="18">
        <f>Z16*'[11]Статистика-морски'!$H$45</f>
        <v>317.05765773470569</v>
      </c>
      <c r="AA19" s="18">
        <f>AA16*'[11]Статистика-морски'!$H$45</f>
        <v>327.34096056433907</v>
      </c>
      <c r="AB19" s="18">
        <f>AB16*'[11]Статистика-морски'!$H$45</f>
        <v>337.9577873272579</v>
      </c>
      <c r="AC19" s="19">
        <f>AC16*'[11]Статистика-морски'!$H$45</f>
        <v>348.91895538592996</v>
      </c>
      <c r="AD19" s="3"/>
    </row>
    <row r="20" spans="1:70" x14ac:dyDescent="0.25">
      <c r="B20" s="3"/>
      <c r="C20" s="33" t="str">
        <f t="shared" si="2"/>
        <v>Анекс V- битови отпадъци</v>
      </c>
      <c r="D20" s="23">
        <f>'[11]Статистика-морски'!F46</f>
        <v>1288.4814666666666</v>
      </c>
      <c r="E20" s="18">
        <f>E16*'[11]Статистика-морски'!$H$46</f>
        <v>1270.4139332513964</v>
      </c>
      <c r="F20" s="18">
        <f>F16*'[11]Статистика-морски'!$H$46</f>
        <v>1311.6179567969846</v>
      </c>
      <c r="G20" s="18">
        <f>G16*'[11]Статистика-морски'!$H$46</f>
        <v>1354.1583727670481</v>
      </c>
      <c r="H20" s="18">
        <f>H16*'[11]Статистика-морски'!$H$46</f>
        <v>1398.0785251012931</v>
      </c>
      <c r="I20" s="18">
        <f>I16*'[11]Статистика-морски'!$H$46</f>
        <v>1443.4231635369101</v>
      </c>
      <c r="J20" s="18">
        <f>J16*'[11]Статистика-морски'!$H$46</f>
        <v>1490.2384892035666</v>
      </c>
      <c r="K20" s="18">
        <f>K16*'[11]Статистика-морски'!$H$46</f>
        <v>1538.5722016972049</v>
      </c>
      <c r="L20" s="18">
        <f>L16*'[11]Статистика-морски'!$H$46</f>
        <v>1588.473547680612</v>
      </c>
      <c r="M20" s="18">
        <f>M16*'[11]Статистика-морски'!$H$46</f>
        <v>1639.9933710602754</v>
      </c>
      <c r="N20" s="18">
        <f>N16*'[11]Статистика-морски'!$H$46</f>
        <v>1693.1841647906556</v>
      </c>
      <c r="O20" s="18">
        <f>O16*'[11]Статистика-морски'!$H$46</f>
        <v>1748.1001243586504</v>
      </c>
      <c r="P20" s="18">
        <f>P16*'[11]Статистика-морски'!$H$46</f>
        <v>1804.7972030027538</v>
      </c>
      <c r="Q20" s="18">
        <f>Q16*'[11]Статистика-морски'!$H$46</f>
        <v>1863.333168723165</v>
      </c>
      <c r="R20" s="18">
        <f>R16*'[11]Статистика-морски'!$H$46</f>
        <v>1923.7676631409397</v>
      </c>
      <c r="S20" s="18">
        <f>S16*'[11]Статистика-морски'!$H$46</f>
        <v>1986.162262266148</v>
      </c>
      <c r="T20" s="18">
        <f>T16*'[11]Статистика-морски'!$H$46</f>
        <v>2050.5805392369648</v>
      </c>
      <c r="U20" s="18">
        <f>U16*'[11]Статистика-морски'!$H$46</f>
        <v>2117.0881290936045</v>
      </c>
      <c r="V20" s="18">
        <f>V16*'[11]Статистика-морски'!$H$46</f>
        <v>2185.7527956531103</v>
      </c>
      <c r="W20" s="18">
        <f>W16*'[11]Статистика-морски'!$H$46</f>
        <v>2256.6445005531255</v>
      </c>
      <c r="X20" s="18">
        <f>X16*'[11]Статистика-морски'!$H$46</f>
        <v>2329.8354745349989</v>
      </c>
      <c r="Y20" s="18">
        <f>Y16*'[11]Статистика-морски'!$H$46</f>
        <v>2405.4002910388572</v>
      </c>
      <c r="Z20" s="18">
        <f>Z16*'[11]Статистика-морски'!$H$46</f>
        <v>2483.4159421856211</v>
      </c>
      <c r="AA20" s="18">
        <f>AA16*'[11]Статистика-морски'!$H$46</f>
        <v>2563.9619172233934</v>
      </c>
      <c r="AB20" s="18">
        <f>AB16*'[11]Статистика-морски'!$H$46</f>
        <v>2647.1202835181352</v>
      </c>
      <c r="AC20" s="19">
        <f>AC16*'[11]Статистика-морски'!$H$46</f>
        <v>2732.9757701711624</v>
      </c>
      <c r="AD20" s="3"/>
    </row>
    <row r="21" spans="1:70" ht="45" x14ac:dyDescent="0.25">
      <c r="B21" s="3"/>
      <c r="C21" s="36" t="s">
        <v>24</v>
      </c>
      <c r="D21" s="37">
        <f>D16+D10</f>
        <v>2649</v>
      </c>
      <c r="E21" s="37">
        <f t="shared" ref="E21:AC21" si="3">E16+E10</f>
        <v>2758.1946267602298</v>
      </c>
      <c r="F21" s="37">
        <f t="shared" si="3"/>
        <v>2847.6526477797879</v>
      </c>
      <c r="G21" s="37">
        <f t="shared" si="3"/>
        <v>2940.0121092731588</v>
      </c>
      <c r="H21" s="37">
        <f t="shared" si="3"/>
        <v>3035.3671152315464</v>
      </c>
      <c r="I21" s="37">
        <f t="shared" si="3"/>
        <v>3133.8148217718954</v>
      </c>
      <c r="J21" s="37">
        <f t="shared" si="3"/>
        <v>3235.4555361281427</v>
      </c>
      <c r="K21" s="37">
        <f t="shared" si="3"/>
        <v>3340.3928188531004</v>
      </c>
      <c r="L21" s="37">
        <f t="shared" si="3"/>
        <v>3448.7335893351096</v>
      </c>
      <c r="M21" s="37">
        <f t="shared" si="3"/>
        <v>3560.5882347369752</v>
      </c>
      <c r="N21" s="37">
        <f t="shared" si="3"/>
        <v>3676.0707224681719</v>
      </c>
      <c r="O21" s="37">
        <f t="shared" si="3"/>
        <v>3795.2987163049274</v>
      </c>
      <c r="P21" s="37">
        <f t="shared" si="3"/>
        <v>3918.3936962764847</v>
      </c>
      <c r="Q21" s="37">
        <f t="shared" si="3"/>
        <v>4022.7402382511773</v>
      </c>
      <c r="R21" s="37">
        <f t="shared" si="3"/>
        <v>4130.0162912842698</v>
      </c>
      <c r="S21" s="37">
        <f t="shared" si="3"/>
        <v>4240.3077734577719</v>
      </c>
      <c r="T21" s="37">
        <f t="shared" si="3"/>
        <v>4353.703207554654</v>
      </c>
      <c r="U21" s="37">
        <f t="shared" si="3"/>
        <v>4470.2938018999866</v>
      </c>
      <c r="V21" s="37">
        <f t="shared" si="3"/>
        <v>4590.1735337512819</v>
      </c>
      <c r="W21" s="37">
        <f t="shared" si="3"/>
        <v>4713.4392353192452</v>
      </c>
      <c r="X21" s="37">
        <f t="shared" si="3"/>
        <v>4840.1906825027781</v>
      </c>
      <c r="Y21" s="37">
        <f t="shared" si="3"/>
        <v>4970.5306864247414</v>
      </c>
      <c r="Z21" s="37">
        <f t="shared" si="3"/>
        <v>5104.5651878577892</v>
      </c>
      <c r="AA21" s="37">
        <f t="shared" si="3"/>
        <v>5242.4033546324081</v>
      </c>
      <c r="AB21" s="37">
        <f t="shared" si="3"/>
        <v>5384.1576821223025</v>
      </c>
      <c r="AC21" s="37">
        <f t="shared" si="3"/>
        <v>5529.9440969052839</v>
      </c>
      <c r="AD21" s="3"/>
    </row>
    <row r="22" spans="1:70" ht="45" x14ac:dyDescent="0.25">
      <c r="B22" s="3"/>
      <c r="C22" s="36" t="s">
        <v>23</v>
      </c>
      <c r="D22" s="37">
        <f>SUM(D18:D20)+SUM(D12:D14)</f>
        <v>11809.994466666667</v>
      </c>
      <c r="E22" s="37">
        <f t="shared" ref="E22:AC22" si="4">SUM(E18:E20)+SUM(E12:E14)</f>
        <v>11932.756881510315</v>
      </c>
      <c r="F22" s="37">
        <f t="shared" si="4"/>
        <v>12319.778451913884</v>
      </c>
      <c r="G22" s="37">
        <f t="shared" si="4"/>
        <v>12719.352502640731</v>
      </c>
      <c r="H22" s="37">
        <f t="shared" si="4"/>
        <v>13131.886155087483</v>
      </c>
      <c r="I22" s="37">
        <f t="shared" si="4"/>
        <v>13557.79973503964</v>
      </c>
      <c r="J22" s="37">
        <f t="shared" si="4"/>
        <v>13997.527200936693</v>
      </c>
      <c r="K22" s="37">
        <f t="shared" si="4"/>
        <v>14451.516586027348</v>
      </c>
      <c r="L22" s="37">
        <f t="shared" si="4"/>
        <v>14920.230454865479</v>
      </c>
      <c r="M22" s="37">
        <f t="shared" si="4"/>
        <v>15404.146374611786</v>
      </c>
      <c r="N22" s="37">
        <f t="shared" si="4"/>
        <v>15903.757401621506</v>
      </c>
      <c r="O22" s="37">
        <f t="shared" si="4"/>
        <v>16419.572583813828</v>
      </c>
      <c r="P22" s="37">
        <f t="shared" si="4"/>
        <v>16952.117479334964</v>
      </c>
      <c r="Q22" s="37">
        <f t="shared" si="4"/>
        <v>17436.357033581327</v>
      </c>
      <c r="R22" s="37">
        <f t="shared" si="4"/>
        <v>17934.990638534986</v>
      </c>
      <c r="S22" s="37">
        <f t="shared" si="4"/>
        <v>18448.458913179402</v>
      </c>
      <c r="T22" s="37">
        <f t="shared" si="4"/>
        <v>18977.216242711049</v>
      </c>
      <c r="U22" s="37">
        <f t="shared" si="4"/>
        <v>19521.731214533997</v>
      </c>
      <c r="V22" s="37">
        <f t="shared" si="4"/>
        <v>20082.487068185583</v>
      </c>
      <c r="W22" s="37">
        <f t="shared" si="4"/>
        <v>20659.982159640633</v>
      </c>
      <c r="X22" s="37">
        <f t="shared" si="4"/>
        <v>21254.730440456427</v>
      </c>
      <c r="Y22" s="37">
        <f t="shared" si="4"/>
        <v>21867.261952235367</v>
      </c>
      <c r="Z22" s="37">
        <f t="shared" si="4"/>
        <v>22498.123336897603</v>
      </c>
      <c r="AA22" s="37">
        <f t="shared" si="4"/>
        <v>23147.878363271997</v>
      </c>
      <c r="AB22" s="37">
        <f t="shared" si="4"/>
        <v>23817.1084705299</v>
      </c>
      <c r="AC22" s="37">
        <f t="shared" si="4"/>
        <v>24506.413329003441</v>
      </c>
      <c r="AD22" s="3"/>
    </row>
    <row r="23" spans="1:70" ht="6.4" customHeight="1" x14ac:dyDescent="0.25">
      <c r="B23" s="3"/>
      <c r="C23" s="41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3"/>
    </row>
    <row r="24" spans="1:70" s="2" customFormat="1" ht="29.65" customHeight="1" x14ac:dyDescent="0.3">
      <c r="C24" s="265" t="s">
        <v>22</v>
      </c>
      <c r="D24" s="265"/>
      <c r="E24" s="265"/>
      <c r="F24" s="265"/>
      <c r="G24" s="265"/>
      <c r="H24" s="265"/>
      <c r="I24" s="265"/>
      <c r="J24" s="265"/>
      <c r="K24" s="265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</row>
    <row r="25" spans="1:70" s="39" customFormat="1" ht="4.3499999999999996" customHeight="1" thickBot="1" x14ac:dyDescent="0.3">
      <c r="B25" s="43"/>
      <c r="C25" s="41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3"/>
    </row>
    <row r="26" spans="1:70" x14ac:dyDescent="0.25">
      <c r="B26" s="3"/>
      <c r="C26" s="29" t="s">
        <v>13</v>
      </c>
      <c r="D26" s="8">
        <f>D8</f>
        <v>2018</v>
      </c>
      <c r="E26" s="8">
        <f t="shared" ref="E26:AC26" si="5">E8</f>
        <v>2019</v>
      </c>
      <c r="F26" s="8">
        <f t="shared" si="5"/>
        <v>2020</v>
      </c>
      <c r="G26" s="8">
        <f t="shared" si="5"/>
        <v>2021</v>
      </c>
      <c r="H26" s="8">
        <f t="shared" si="5"/>
        <v>2022</v>
      </c>
      <c r="I26" s="8">
        <f t="shared" si="5"/>
        <v>2023</v>
      </c>
      <c r="J26" s="8">
        <f t="shared" si="5"/>
        <v>2024</v>
      </c>
      <c r="K26" s="8">
        <f t="shared" si="5"/>
        <v>2025</v>
      </c>
      <c r="L26" s="8">
        <f t="shared" si="5"/>
        <v>2026</v>
      </c>
      <c r="M26" s="8">
        <f t="shared" si="5"/>
        <v>2027</v>
      </c>
      <c r="N26" s="8">
        <f t="shared" si="5"/>
        <v>2028</v>
      </c>
      <c r="O26" s="8">
        <f t="shared" si="5"/>
        <v>2029</v>
      </c>
      <c r="P26" s="8">
        <f t="shared" si="5"/>
        <v>2030</v>
      </c>
      <c r="Q26" s="8">
        <f t="shared" si="5"/>
        <v>2031</v>
      </c>
      <c r="R26" s="8">
        <f t="shared" si="5"/>
        <v>2032</v>
      </c>
      <c r="S26" s="8">
        <f t="shared" si="5"/>
        <v>2033</v>
      </c>
      <c r="T26" s="8">
        <f t="shared" si="5"/>
        <v>2034</v>
      </c>
      <c r="U26" s="8">
        <f t="shared" si="5"/>
        <v>2035</v>
      </c>
      <c r="V26" s="8">
        <f t="shared" si="5"/>
        <v>2036</v>
      </c>
      <c r="W26" s="8">
        <f t="shared" si="5"/>
        <v>2037</v>
      </c>
      <c r="X26" s="8">
        <f t="shared" si="5"/>
        <v>2038</v>
      </c>
      <c r="Y26" s="8">
        <f t="shared" si="5"/>
        <v>2039</v>
      </c>
      <c r="Z26" s="8">
        <f t="shared" si="5"/>
        <v>2040</v>
      </c>
      <c r="AA26" s="8">
        <f t="shared" si="5"/>
        <v>2041</v>
      </c>
      <c r="AB26" s="8">
        <f t="shared" si="5"/>
        <v>2042</v>
      </c>
      <c r="AC26" s="9">
        <f t="shared" si="5"/>
        <v>2043</v>
      </c>
      <c r="AD26" s="3"/>
    </row>
    <row r="27" spans="1:70" s="15" customFormat="1" x14ac:dyDescent="0.25">
      <c r="A27" s="10"/>
      <c r="B27" s="11"/>
      <c r="C27" s="30" t="str">
        <f>C16</f>
        <v>брой кораби</v>
      </c>
      <c r="D27" s="12">
        <v>5702</v>
      </c>
      <c r="E27" s="13">
        <f>D27*(1+'[11]Статистика-речен'!$C$33)</f>
        <v>5724.9490815442377</v>
      </c>
      <c r="F27" s="13">
        <f>E27*(1+'[11]Статистика-речен'!$C$33)</f>
        <v>5747.9905272315355</v>
      </c>
      <c r="G27" s="13">
        <f>F27*(1+'[11]Статистика-речен'!$C$33)</f>
        <v>5771.1247088037808</v>
      </c>
      <c r="H27" s="13">
        <f>G27*(1+'[11]Статистика-речен'!$C$33)</f>
        <v>5794.3519994990293</v>
      </c>
      <c r="I27" s="13">
        <f>H27*(1+'[11]Статистика-речен'!$C$33)</f>
        <v>5817.6727740575216</v>
      </c>
      <c r="J27" s="13">
        <f>I27*(1+'[11]Статистика-речен'!$C$33)</f>
        <v>5841.0874087277316</v>
      </c>
      <c r="K27" s="13">
        <f>J27*(1+'[11]Статистика-речен'!$C$33)</f>
        <v>5864.5962812724374</v>
      </c>
      <c r="L27" s="13">
        <f>K27*(1+'[11]Статистика-речен'!$C$33)</f>
        <v>5888.1997709748148</v>
      </c>
      <c r="M27" s="13">
        <f>L27*(1+'[11]Статистика-речен'!$C$33)</f>
        <v>5911.8982586445563</v>
      </c>
      <c r="N27" s="13">
        <f>M27*(1+'[11]Статистика-речен'!$C$33)</f>
        <v>5935.6921266240151</v>
      </c>
      <c r="O27" s="13">
        <f>N27*(1+'[11]Статистика-речен'!$C$33)</f>
        <v>5959.5817587943739</v>
      </c>
      <c r="P27" s="13">
        <f>O27*(1+'[11]Статистика-речен'!$C$33)</f>
        <v>5983.5675405818392</v>
      </c>
      <c r="Q27" s="13">
        <f>P27*(1+'[11]Статистика-речен'!$C$33)</f>
        <v>6007.6498589638577</v>
      </c>
      <c r="R27" s="13">
        <f>Q27*(1+'[11]Статистика-речен'!$C$33)</f>
        <v>6031.8291024753607</v>
      </c>
      <c r="S27" s="13">
        <f>R27*(1+'[11]Статистика-речен'!$C$33)</f>
        <v>6056.1056612150333</v>
      </c>
      <c r="T27" s="13">
        <f>S27*(1+'[11]Статистика-речен'!$C$33)</f>
        <v>6080.4799268516072</v>
      </c>
      <c r="U27" s="13">
        <f>T27*(1+'[11]Статистика-речен'!$C$33)</f>
        <v>6104.9522926301797</v>
      </c>
      <c r="V27" s="13">
        <f>U27*(1+'[11]Статистика-речен'!$C$33)</f>
        <v>6129.5231533785582</v>
      </c>
      <c r="W27" s="13">
        <f>V27*(1+'[11]Статистика-речен'!$C$33)</f>
        <v>6154.1929055136297</v>
      </c>
      <c r="X27" s="13">
        <f>W27*(1+'[11]Статистика-речен'!$C$33)</f>
        <v>6178.9619470477583</v>
      </c>
      <c r="Y27" s="13">
        <f>X27*(1+'[11]Статистика-речен'!$C$33)</f>
        <v>6203.8306775952051</v>
      </c>
      <c r="Z27" s="13">
        <f>Y27*(1+'[11]Статистика-речен'!$C$33)</f>
        <v>6228.7994983785757</v>
      </c>
      <c r="AA27" s="13">
        <f>Z27*(1+'[11]Статистика-речен'!$C$33)</f>
        <v>6253.8688122352924</v>
      </c>
      <c r="AB27" s="13">
        <f>AA27*(1+'[11]Статистика-речен'!$C$33)</f>
        <v>6279.0390236240955</v>
      </c>
      <c r="AC27" s="14">
        <f>AB27*(1+'[11]Статистика-речен'!$C$33)</f>
        <v>6304.3105386315665</v>
      </c>
      <c r="AD27" s="11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</row>
    <row r="28" spans="1:70" s="15" customFormat="1" ht="15.95" customHeight="1" x14ac:dyDescent="0.25">
      <c r="A28" s="10"/>
      <c r="B28" s="11"/>
      <c r="C28" s="253" t="str">
        <f>C17</f>
        <v>количества отпадъци в м³ по видове отпадъци годишно</v>
      </c>
      <c r="D28" s="254"/>
      <c r="E28" s="254"/>
      <c r="F28" s="255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22"/>
      <c r="AD28" s="11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</row>
    <row r="29" spans="1:70" ht="30" x14ac:dyDescent="0.25">
      <c r="B29" s="3"/>
      <c r="C29" s="31" t="str">
        <f>C18</f>
        <v>Анекс I- нефтени замърсявания</v>
      </c>
      <c r="D29" s="18">
        <f>D27*'[11]Статистика-речен'!$J$24</f>
        <v>5786.1786733213376</v>
      </c>
      <c r="E29" s="18">
        <f>E27*'[11]Статистика-речен'!$J$24</f>
        <v>5809.4665523468693</v>
      </c>
      <c r="F29" s="18">
        <f>F27*'[11]Статистика-речен'!$J$24</f>
        <v>5832.848159088071</v>
      </c>
      <c r="G29" s="18">
        <f>G27*'[11]Статистика-речен'!$J$24</f>
        <v>5856.3238707748596</v>
      </c>
      <c r="H29" s="18">
        <f>H27*'[11]Статистика-речен'!$J$24</f>
        <v>5879.894066155407</v>
      </c>
      <c r="I29" s="18">
        <f>I27*'[11]Статистика-речен'!$J$24</f>
        <v>5903.5591255022473</v>
      </c>
      <c r="J29" s="18">
        <f>J27*'[11]Статистика-речен'!$J$24</f>
        <v>5927.3194306184132</v>
      </c>
      <c r="K29" s="18">
        <f>K27*'[11]Статистика-речен'!$J$24</f>
        <v>5951.1753648435988</v>
      </c>
      <c r="L29" s="18">
        <f>L27*'[11]Статистика-речен'!$J$24</f>
        <v>5975.1273130603395</v>
      </c>
      <c r="M29" s="18">
        <f>M27*'[11]Статистика-речен'!$J$24</f>
        <v>5999.1756617002247</v>
      </c>
      <c r="N29" s="18">
        <f>N27*'[11]Статистика-речен'!$J$24</f>
        <v>6023.3207987501319</v>
      </c>
      <c r="O29" s="18">
        <f>O27*'[11]Статистика-речен'!$J$24</f>
        <v>6047.5631137584833</v>
      </c>
      <c r="P29" s="18">
        <f>P27*'[11]Статистика-речен'!$J$24</f>
        <v>6071.9029978415374</v>
      </c>
      <c r="Q29" s="18">
        <f>Q27*'[11]Статистика-речен'!$J$24</f>
        <v>6096.3408436896907</v>
      </c>
      <c r="R29" s="18">
        <f>R27*'[11]Статистика-речен'!$J$24</f>
        <v>6120.8770455738195</v>
      </c>
      <c r="S29" s="18">
        <f>S27*'[11]Статистика-речен'!$J$24</f>
        <v>6145.5119993516382</v>
      </c>
      <c r="T29" s="18">
        <f>T27*'[11]Статистика-речен'!$J$24</f>
        <v>6170.2461024740887</v>
      </c>
      <c r="U29" s="18">
        <f>U27*'[11]Статистика-речен'!$J$24</f>
        <v>6195.0797539917485</v>
      </c>
      <c r="V29" s="18">
        <f>V27*'[11]Статистика-речен'!$J$24</f>
        <v>6220.0133545612707</v>
      </c>
      <c r="W29" s="18">
        <f>W27*'[11]Статистика-речен'!$J$24</f>
        <v>6245.0473064518483</v>
      </c>
      <c r="X29" s="18">
        <f>X27*'[11]Статистика-речен'!$J$24</f>
        <v>6270.1820135517055</v>
      </c>
      <c r="Y29" s="18">
        <f>Y27*'[11]Статистика-речен'!$J$24</f>
        <v>6295.4178813746121</v>
      </c>
      <c r="Z29" s="18">
        <f>Z27*'[11]Статистика-речен'!$J$24</f>
        <v>6320.755317066426</v>
      </c>
      <c r="AA29" s="18">
        <f>AA27*'[11]Статистика-речен'!$J$24</f>
        <v>6346.1947294116608</v>
      </c>
      <c r="AB29" s="18">
        <f>AB27*'[11]Статистика-речен'!$J$24</f>
        <v>6371.736528840087</v>
      </c>
      <c r="AC29" s="19">
        <f>AC27*'[11]Статистика-речен'!$J$24</f>
        <v>6397.381127433343</v>
      </c>
      <c r="AD29" s="3"/>
    </row>
    <row r="30" spans="1:70" x14ac:dyDescent="0.25">
      <c r="B30" s="3"/>
      <c r="C30" s="31" t="str">
        <f>C19</f>
        <v>Анекс IV- отпадъчни води</v>
      </c>
      <c r="D30" s="18">
        <f>D27*'[11]Статистика-речен'!$J$25</f>
        <v>776.7692720730696</v>
      </c>
      <c r="E30" s="18">
        <f>E27*'[11]Статистика-речен'!$J$25</f>
        <v>779.89556834908899</v>
      </c>
      <c r="F30" s="18">
        <f>F27*'[11]Статистика-речен'!$J$25</f>
        <v>783.03444716249373</v>
      </c>
      <c r="G30" s="18">
        <f>G27*'[11]Статистика-речен'!$J$25</f>
        <v>786.18595915475589</v>
      </c>
      <c r="H30" s="18">
        <f>H27*'[11]Статистика-речен'!$J$25</f>
        <v>789.35015517116733</v>
      </c>
      <c r="I30" s="18">
        <f>I27*'[11]Статистика-речен'!$J$25</f>
        <v>792.52708626165838</v>
      </c>
      <c r="J30" s="18">
        <f>J27*'[11]Статистика-речен'!$J$25</f>
        <v>795.71680368162265</v>
      </c>
      <c r="K30" s="18">
        <f>K27*'[11]Статистика-речен'!$J$25</f>
        <v>798.91935889274328</v>
      </c>
      <c r="L30" s="18">
        <f>L27*'[11]Статистика-речен'!$J$25</f>
        <v>802.13480356382354</v>
      </c>
      <c r="M30" s="18">
        <f>M27*'[11]Статистика-речен'!$J$25</f>
        <v>805.36318957162041</v>
      </c>
      <c r="N30" s="18">
        <f>N27*'[11]Статистика-речен'!$J$25</f>
        <v>808.60456900168128</v>
      </c>
      <c r="O30" s="18">
        <f>O27*'[11]Статистика-речен'!$J$25</f>
        <v>811.85899414918435</v>
      </c>
      <c r="P30" s="18">
        <f>P27*'[11]Статистика-речен'!$J$25</f>
        <v>815.12651751978296</v>
      </c>
      <c r="Q30" s="18">
        <f>Q27*'[11]Статистика-речен'!$J$25</f>
        <v>818.40719183045155</v>
      </c>
      <c r="R30" s="18">
        <f>R27*'[11]Статистика-речен'!$J$25</f>
        <v>821.70107001033716</v>
      </c>
      <c r="S30" s="18">
        <f>S27*'[11]Статистика-речен'!$J$25</f>
        <v>825.0082052016129</v>
      </c>
      <c r="T30" s="18">
        <f>T27*'[11]Статистика-речен'!$J$25</f>
        <v>828.32865076033568</v>
      </c>
      <c r="U30" s="18">
        <f>U27*'[11]Статистика-речен'!$J$25</f>
        <v>831.66246025730652</v>
      </c>
      <c r="V30" s="18">
        <f>V27*'[11]Статистика-речен'!$J$25</f>
        <v>835.00968747893523</v>
      </c>
      <c r="W30" s="18">
        <f>W27*'[11]Статистика-речен'!$J$25</f>
        <v>838.37038642810785</v>
      </c>
      <c r="X30" s="18">
        <f>X27*'[11]Статистика-речен'!$J$25</f>
        <v>841.74461132505849</v>
      </c>
      <c r="Y30" s="18">
        <f>Y27*'[11]Статистика-речен'!$J$25</f>
        <v>845.13241660824372</v>
      </c>
      <c r="Z30" s="18">
        <f>Z27*'[11]Статистика-речен'!$J$25</f>
        <v>848.53385693522046</v>
      </c>
      <c r="AA30" s="18">
        <f>AA27*'[11]Статистика-речен'!$J$25</f>
        <v>851.94898718352863</v>
      </c>
      <c r="AB30" s="18">
        <f>AB27*'[11]Статистика-речен'!$J$25</f>
        <v>855.37786245157599</v>
      </c>
      <c r="AC30" s="19">
        <f>AC27*'[11]Статистика-речен'!$J$25</f>
        <v>858.82053805952705</v>
      </c>
      <c r="AD30" s="3"/>
    </row>
    <row r="31" spans="1:70" x14ac:dyDescent="0.25">
      <c r="B31" s="3"/>
      <c r="C31" s="31" t="str">
        <f>C20</f>
        <v>Анекс V- битови отпадъци</v>
      </c>
      <c r="D31" s="18">
        <f>D27*'[11]Статистика-речен'!$J$26</f>
        <v>4130.9435482978142</v>
      </c>
      <c r="E31" s="18">
        <f>E27*'[11]Статистика-речен'!$J$26</f>
        <v>4147.569532223547</v>
      </c>
      <c r="F31" s="18">
        <f>F27*'[11]Статистика-речен'!$J$26</f>
        <v>4164.2624314528339</v>
      </c>
      <c r="G31" s="18">
        <f>G27*'[11]Статистика-речен'!$J$26</f>
        <v>4181.0225153025394</v>
      </c>
      <c r="H31" s="18">
        <f>H27*'[11]Статистика-речен'!$J$26</f>
        <v>4197.8500541734575</v>
      </c>
      <c r="I31" s="18">
        <f>I27*'[11]Статистика-речен'!$J$26</f>
        <v>4214.7453195546759</v>
      </c>
      <c r="J31" s="18">
        <f>J27*'[11]Статистика-речен'!$J$26</f>
        <v>4231.7085840279588</v>
      </c>
      <c r="K31" s="18">
        <f>K27*'[11]Статистика-речен'!$J$26</f>
        <v>4248.740121272137</v>
      </c>
      <c r="L31" s="18">
        <f>L27*'[11]Статистика-речен'!$J$26</f>
        <v>4265.8402060675335</v>
      </c>
      <c r="M31" s="18">
        <f>M27*'[11]Статистика-речен'!$J$26</f>
        <v>4283.0091143003874</v>
      </c>
      <c r="N31" s="18">
        <f>N27*'[11]Статистика-речен'!$J$26</f>
        <v>4300.247122967311</v>
      </c>
      <c r="O31" s="18">
        <f>O27*'[11]Статистика-речен'!$J$26</f>
        <v>4317.5545101797543</v>
      </c>
      <c r="P31" s="18">
        <f>P27*'[11]Статистика-речен'!$J$26</f>
        <v>4334.9315551684967</v>
      </c>
      <c r="Q31" s="18">
        <f>Q27*'[11]Статистика-речен'!$J$26</f>
        <v>4352.3785382881479</v>
      </c>
      <c r="R31" s="18">
        <f>R27*'[11]Статистика-речен'!$J$26</f>
        <v>4369.8957410216735</v>
      </c>
      <c r="S31" s="18">
        <f>S27*'[11]Статистика-речен'!$J$26</f>
        <v>4387.4834459849362</v>
      </c>
      <c r="T31" s="18">
        <f>T27*'[11]Статистика-речен'!$J$26</f>
        <v>4405.1419369312534</v>
      </c>
      <c r="U31" s="18">
        <f>U27*'[11]Статистика-речен'!$J$26</f>
        <v>4422.8714987559779</v>
      </c>
      <c r="V31" s="18">
        <f>V27*'[11]Статистика-речен'!$J$26</f>
        <v>4440.6724175010922</v>
      </c>
      <c r="W31" s="18">
        <f>W27*'[11]Статистика-речен'!$J$26</f>
        <v>4458.5449803598221</v>
      </c>
      <c r="X31" s="18">
        <f>X27*'[11]Статистика-речен'!$J$26</f>
        <v>4476.4894756812755</v>
      </c>
      <c r="Y31" s="18">
        <f>Y27*'[11]Статистика-речен'!$J$26</f>
        <v>4494.5061929750909</v>
      </c>
      <c r="Z31" s="18">
        <f>Z27*'[11]Статистика-речен'!$J$26</f>
        <v>4512.5954229161061</v>
      </c>
      <c r="AA31" s="18">
        <f>AA27*'[11]Статистика-речен'!$J$26</f>
        <v>4530.7574573490519</v>
      </c>
      <c r="AB31" s="18">
        <f>AB27*'[11]Статистика-речен'!$J$26</f>
        <v>4548.9925892932588</v>
      </c>
      <c r="AC31" s="19">
        <f>AC27*'[11]Статистика-речен'!$J$26</f>
        <v>4567.3011129473844</v>
      </c>
      <c r="AD31" s="3"/>
    </row>
    <row r="32" spans="1:70" x14ac:dyDescent="0.25">
      <c r="B32" s="3"/>
      <c r="C32" s="34" t="s">
        <v>14</v>
      </c>
      <c r="D32" s="24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7"/>
      <c r="AD32" s="3"/>
    </row>
    <row r="33" spans="1:70" s="15" customFormat="1" x14ac:dyDescent="0.25">
      <c r="A33" s="10"/>
      <c r="B33" s="11"/>
      <c r="C33" s="30" t="str">
        <f>C27</f>
        <v>брой кораби</v>
      </c>
      <c r="D33" s="16">
        <v>691</v>
      </c>
      <c r="E33" s="13">
        <f>D33*(1+'[11]Статистика-речен'!$C$33)</f>
        <v>693.78109704438236</v>
      </c>
      <c r="F33" s="13">
        <f>E33*(1+'[11]Статистика-речен'!$C$33)</f>
        <v>696.57338728814284</v>
      </c>
      <c r="G33" s="13">
        <f>F33*(1+'[11]Статистика-речен'!$C$33)</f>
        <v>699.37691578102636</v>
      </c>
      <c r="H33" s="13">
        <f>G33*(1+'[11]Статистика-речен'!$C$33)</f>
        <v>702.19172775409129</v>
      </c>
      <c r="I33" s="13">
        <f>H33*(1+'[11]Статистика-речен'!$C$33)</f>
        <v>705.01786862043957</v>
      </c>
      <c r="J33" s="13">
        <f>I33*(1+'[11]Статистика-речен'!$C$33)</f>
        <v>707.85538397594905</v>
      </c>
      <c r="K33" s="13">
        <f>J33*(1+'[11]Статистика-речен'!$C$33)</f>
        <v>710.7043196000094</v>
      </c>
      <c r="L33" s="13">
        <f>K33*(1+'[11]Статистика-речен'!$C$33)</f>
        <v>713.56472145626037</v>
      </c>
      <c r="M33" s="13">
        <f>L33*(1+'[11]Статистика-речен'!$C$33)</f>
        <v>716.43663569333353</v>
      </c>
      <c r="N33" s="13">
        <f>M33*(1+'[11]Статистика-речен'!$C$33)</f>
        <v>719.32010864559686</v>
      </c>
      <c r="O33" s="13">
        <f>N33*(1+'[11]Статистика-речен'!$C$33)</f>
        <v>722.21518683390241</v>
      </c>
      <c r="P33" s="13">
        <f>O33*(1+'[11]Статистика-речен'!$C$33)</f>
        <v>725.12191696633636</v>
      </c>
      <c r="Q33" s="13">
        <f>P33*(1+'[11]Статистика-речен'!$C$33)</f>
        <v>728.04034593897313</v>
      </c>
      <c r="R33" s="13">
        <f>Q33*(1+'[11]Статистика-речен'!$C$33)</f>
        <v>730.97052083663164</v>
      </c>
      <c r="S33" s="13">
        <f>R33*(1+'[11]Статистика-речен'!$C$33)</f>
        <v>733.91248893363513</v>
      </c>
      <c r="T33" s="13">
        <f>S33*(1+'[11]Статистика-речен'!$C$33)</f>
        <v>736.86629769457386</v>
      </c>
      <c r="U33" s="13">
        <f>T33*(1+'[11]Статистика-речен'!$C$33)</f>
        <v>739.83199477507083</v>
      </c>
      <c r="V33" s="13">
        <f>U33*(1+'[11]Статистика-речен'!$C$33)</f>
        <v>742.80962802255056</v>
      </c>
      <c r="W33" s="13">
        <f>V33*(1+'[11]Статистика-речен'!$C$33)</f>
        <v>745.79924547701125</v>
      </c>
      <c r="X33" s="13">
        <f>W33*(1+'[11]Статистика-речен'!$C$33)</f>
        <v>748.80089537179958</v>
      </c>
      <c r="Y33" s="13">
        <f>X33*(1+'[11]Статистика-речен'!$C$33)</f>
        <v>751.81462613438919</v>
      </c>
      <c r="Z33" s="13">
        <f>Y33*(1+'[11]Статистика-речен'!$C$33)</f>
        <v>754.84048638716172</v>
      </c>
      <c r="AA33" s="13">
        <f>Z33*(1+'[11]Статистика-речен'!$C$33)</f>
        <v>757.8785249481914</v>
      </c>
      <c r="AB33" s="13">
        <f>AA33*(1+'[11]Статистика-речен'!$C$33)</f>
        <v>760.92879083203263</v>
      </c>
      <c r="AC33" s="14">
        <f>AB33*(1+'[11]Статистика-речен'!$C$33)</f>
        <v>763.99133325051082</v>
      </c>
      <c r="AD33" s="11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</row>
    <row r="34" spans="1:70" s="15" customFormat="1" ht="16.7" customHeight="1" x14ac:dyDescent="0.25">
      <c r="A34" s="10"/>
      <c r="B34" s="11"/>
      <c r="C34" s="253" t="str">
        <f t="shared" ref="C34:C37" si="6">C28</f>
        <v>количества отпадъци в м³ по видове отпадъци годишно</v>
      </c>
      <c r="D34" s="254"/>
      <c r="E34" s="254"/>
      <c r="F34" s="255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22"/>
      <c r="AD34" s="11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</row>
    <row r="35" spans="1:70" ht="30" x14ac:dyDescent="0.25">
      <c r="B35" s="3"/>
      <c r="C35" s="31" t="str">
        <f t="shared" si="6"/>
        <v>Анекс I- нефтени замърсявания</v>
      </c>
      <c r="D35" s="18">
        <f>D33*'[11]Статистика-речен'!$J$24</f>
        <v>701.2012387346623</v>
      </c>
      <c r="E35" s="18">
        <f>E33*'[11]Статистика-речен'!$J$24</f>
        <v>704.02339313779134</v>
      </c>
      <c r="F35" s="18">
        <f>F33*'[11]Статистика-речен'!$J$24</f>
        <v>706.85690598559393</v>
      </c>
      <c r="G35" s="18">
        <f>G33*'[11]Статистика-речен'!$J$24</f>
        <v>709.70182299288456</v>
      </c>
      <c r="H35" s="18">
        <f>H33*'[11]Статистика-речен'!$J$24</f>
        <v>712.5581900584682</v>
      </c>
      <c r="I35" s="18">
        <f>I33*'[11]Статистика-речен'!$J$24</f>
        <v>715.4260532658808</v>
      </c>
      <c r="J35" s="18">
        <f>J33*'[11]Статистика-речен'!$J$24</f>
        <v>718.30545888413235</v>
      </c>
      <c r="K35" s="18">
        <f>K33*'[11]Статистика-речен'!$J$24</f>
        <v>721.19645336845429</v>
      </c>
      <c r="L35" s="18">
        <f>L33*'[11]Статистика-речен'!$J$24</f>
        <v>724.09908336104775</v>
      </c>
      <c r="M35" s="18">
        <f>M33*'[11]Статистика-речен'!$J$24</f>
        <v>727.0133956918371</v>
      </c>
      <c r="N35" s="18">
        <f>N33*'[11]Статистика-речен'!$J$24</f>
        <v>729.93943737922484</v>
      </c>
      <c r="O35" s="18">
        <f>O33*'[11]Статистика-речен'!$J$24</f>
        <v>732.87725563085075</v>
      </c>
      <c r="P35" s="18">
        <f>P33*'[11]Статистика-речен'!$J$24</f>
        <v>735.82689784435308</v>
      </c>
      <c r="Q35" s="18">
        <f>Q33*'[11]Статистика-речен'!$J$24</f>
        <v>738.78841160813317</v>
      </c>
      <c r="R35" s="18">
        <f>R33*'[11]Статистика-речен'!$J$24</f>
        <v>741.76184470212354</v>
      </c>
      <c r="S35" s="18">
        <f>S33*'[11]Статистика-речен'!$J$24</f>
        <v>744.74724509855866</v>
      </c>
      <c r="T35" s="18">
        <f>T33*'[11]Статистика-речен'!$J$24</f>
        <v>747.74466096274909</v>
      </c>
      <c r="U35" s="18">
        <f>U33*'[11]Статистика-речен'!$J$24</f>
        <v>750.75414065385792</v>
      </c>
      <c r="V35" s="18">
        <f>V33*'[11]Статистика-речен'!$J$24</f>
        <v>753.77573272568179</v>
      </c>
      <c r="W35" s="18">
        <f>W33*'[11]Статистика-речен'!$J$24</f>
        <v>756.8094859274338</v>
      </c>
      <c r="X35" s="18">
        <f>X33*'[11]Статистика-речен'!$J$24</f>
        <v>759.8554492045298</v>
      </c>
      <c r="Y35" s="18">
        <f>Y33*'[11]Статистика-речен'!$J$24</f>
        <v>762.91367169937871</v>
      </c>
      <c r="Z35" s="18">
        <f>Z33*'[11]Статистика-речен'!$J$24</f>
        <v>765.98420275217472</v>
      </c>
      <c r="AA35" s="18">
        <f>AA33*'[11]Статистика-речен'!$J$24</f>
        <v>769.06709190169386</v>
      </c>
      <c r="AB35" s="18">
        <f>AB33*'[11]Статистика-речен'!$J$24</f>
        <v>772.16238888609257</v>
      </c>
      <c r="AC35" s="19">
        <f>AC33*'[11]Статистика-речен'!$J$24</f>
        <v>775.27014364371109</v>
      </c>
      <c r="AD35" s="3"/>
    </row>
    <row r="36" spans="1:70" x14ac:dyDescent="0.25">
      <c r="B36" s="3"/>
      <c r="C36" s="31" t="str">
        <f t="shared" si="6"/>
        <v>Анекс IV- отпадъчни води</v>
      </c>
      <c r="D36" s="18">
        <f>D33*'[11]Статистика-речен'!$J$25</f>
        <v>94.133210628286747</v>
      </c>
      <c r="E36" s="18">
        <f>E33*'[11]Статистика-речен'!$J$25</f>
        <v>94.512072558614619</v>
      </c>
      <c r="F36" s="18">
        <f>F33*'[11]Статистика-речен'!$J$25</f>
        <v>94.892459310642423</v>
      </c>
      <c r="G36" s="18">
        <f>G33*'[11]Статистика-речен'!$J$25</f>
        <v>95.274377021384836</v>
      </c>
      <c r="H36" s="18">
        <f>H33*'[11]Статистика-речен'!$J$25</f>
        <v>95.657831852556384</v>
      </c>
      <c r="I36" s="18">
        <f>I33*'[11]Статистика-речен'!$J$25</f>
        <v>96.042829990670967</v>
      </c>
      <c r="J36" s="18">
        <f>J33*'[11]Статистика-речен'!$J$25</f>
        <v>96.42937764714155</v>
      </c>
      <c r="K36" s="18">
        <f>K33*'[11]Статистика-речен'!$J$25</f>
        <v>96.81748105838048</v>
      </c>
      <c r="L36" s="18">
        <f>L33*'[11]Статистика-речен'!$J$25</f>
        <v>97.20714648590004</v>
      </c>
      <c r="M36" s="18">
        <f>M33*'[11]Статистика-речен'!$J$25</f>
        <v>97.598380216413474</v>
      </c>
      <c r="N36" s="18">
        <f>N33*'[11]Статистика-речен'!$J$25</f>
        <v>97.99118856193644</v>
      </c>
      <c r="O36" s="18">
        <f>O33*'[11]Статистика-речен'!$J$25</f>
        <v>98.385577859888869</v>
      </c>
      <c r="P36" s="18">
        <f>P33*'[11]Статистика-речен'!$J$25</f>
        <v>98.781554473197104</v>
      </c>
      <c r="Q36" s="18">
        <f>Q33*'[11]Статистика-речен'!$J$25</f>
        <v>99.179124790396685</v>
      </c>
      <c r="R36" s="18">
        <f>R33*'[11]Статистика-речен'!$J$25</f>
        <v>99.578295225735332</v>
      </c>
      <c r="S36" s="18">
        <f>S33*'[11]Статистика-речен'!$J$25</f>
        <v>99.979072219276475</v>
      </c>
      <c r="T36" s="18">
        <f>T33*'[11]Статистика-речен'!$J$25</f>
        <v>100.38146223700315</v>
      </c>
      <c r="U36" s="18">
        <f>U33*'[11]Статистика-речен'!$J$25</f>
        <v>100.78547177092227</v>
      </c>
      <c r="V36" s="18">
        <f>V33*'[11]Статистика-речен'!$J$25</f>
        <v>101.19110733916945</v>
      </c>
      <c r="W36" s="18">
        <f>W33*'[11]Статистика-речен'!$J$25</f>
        <v>101.59837548611409</v>
      </c>
      <c r="X36" s="18">
        <f>X33*'[11]Статистика-речен'!$J$25</f>
        <v>102.00728278246501</v>
      </c>
      <c r="Y36" s="18">
        <f>Y33*'[11]Статистика-речен'!$J$25</f>
        <v>102.41783582537643</v>
      </c>
      <c r="Z36" s="18">
        <f>Z33*'[11]Статистика-речен'!$J$25</f>
        <v>102.83004123855443</v>
      </c>
      <c r="AA36" s="18">
        <f>AA33*'[11]Статистика-речен'!$J$25</f>
        <v>103.24390567236379</v>
      </c>
      <c r="AB36" s="18">
        <f>AB33*'[11]Статистика-речен'!$J$25</f>
        <v>103.65943580393528</v>
      </c>
      <c r="AC36" s="19">
        <f>AC33*'[11]Статистика-речен'!$J$25</f>
        <v>104.07663833727345</v>
      </c>
      <c r="AD36" s="3"/>
    </row>
    <row r="37" spans="1:70" x14ac:dyDescent="0.25">
      <c r="B37" s="3"/>
      <c r="C37" s="31" t="str">
        <f t="shared" si="6"/>
        <v>Анекс V- битови отпадъци</v>
      </c>
      <c r="D37" s="18">
        <f>D33*'[11]Статистика-речен'!$J$26</f>
        <v>500.61066150013846</v>
      </c>
      <c r="E37" s="18">
        <f>E33*'[11]Статистика-речен'!$J$26</f>
        <v>502.62549048868306</v>
      </c>
      <c r="F37" s="18">
        <f>F33*'[11]Статистика-речен'!$J$26</f>
        <v>504.64842864502072</v>
      </c>
      <c r="G37" s="18">
        <f>G33*'[11]Статистика-речен'!$J$26</f>
        <v>506.6795086064634</v>
      </c>
      <c r="H37" s="18">
        <f>H33*'[11]Статистика-речен'!$J$26</f>
        <v>508.7187631416798</v>
      </c>
      <c r="I37" s="18">
        <f>I33*'[11]Статистика-речен'!$J$26</f>
        <v>510.76622515122421</v>
      </c>
      <c r="J37" s="18">
        <f>J33*'[11]Статистика-речен'!$J$26</f>
        <v>512.82192766806702</v>
      </c>
      <c r="K37" s="18">
        <f>K33*'[11]Статистика-речен'!$J$26</f>
        <v>514.88590385812813</v>
      </c>
      <c r="L37" s="18">
        <f>L33*'[11]Статистика-речен'!$J$26</f>
        <v>516.95818702081124</v>
      </c>
      <c r="M37" s="18">
        <f>M33*'[11]Статистика-речен'!$J$26</f>
        <v>519.03881058954175</v>
      </c>
      <c r="N37" s="18">
        <f>N33*'[11]Статистика-речен'!$J$26</f>
        <v>521.12780813230631</v>
      </c>
      <c r="O37" s="18">
        <f>O33*'[11]Статистика-речен'!$J$26</f>
        <v>523.2252133521938</v>
      </c>
      <c r="P37" s="18">
        <f>P33*'[11]Статистика-речен'!$J$26</f>
        <v>525.33106008793936</v>
      </c>
      <c r="Q37" s="18">
        <f>Q33*'[11]Статистика-речен'!$J$26</f>
        <v>527.44538231447029</v>
      </c>
      <c r="R37" s="18">
        <f>R33*'[11]Статистика-речен'!$J$26</f>
        <v>529.56821414345427</v>
      </c>
      <c r="S37" s="18">
        <f>S33*'[11]Статистика-речен'!$J$26</f>
        <v>531.69958982384969</v>
      </c>
      <c r="T37" s="18">
        <f>T33*'[11]Статистика-речен'!$J$26</f>
        <v>533.83954374245809</v>
      </c>
      <c r="U37" s="18">
        <f>U33*'[11]Статистика-речен'!$J$26</f>
        <v>535.98811042447926</v>
      </c>
      <c r="V37" s="18">
        <f>V33*'[11]Статистика-речен'!$J$26</f>
        <v>538.14532453406775</v>
      </c>
      <c r="W37" s="18">
        <f>W33*'[11]Статистика-речен'!$J$26</f>
        <v>540.31122087489257</v>
      </c>
      <c r="X37" s="18">
        <f>X33*'[11]Статистика-речен'!$J$26</f>
        <v>542.4858343906983</v>
      </c>
      <c r="Y37" s="18">
        <f>Y33*'[11]Статистика-речен'!$J$26</f>
        <v>544.66920016586948</v>
      </c>
      <c r="Z37" s="18">
        <f>Z33*'[11]Статистика-речен'!$J$26</f>
        <v>546.86135342599607</v>
      </c>
      <c r="AA37" s="18">
        <f>AA33*'[11]Статистика-речен'!$J$26</f>
        <v>549.06232953844176</v>
      </c>
      <c r="AB37" s="18">
        <f>AB33*'[11]Статистика-речен'!$J$26</f>
        <v>551.27216401291514</v>
      </c>
      <c r="AC37" s="19">
        <f>AC33*'[11]Статистика-речен'!$J$26</f>
        <v>553.4908925020419</v>
      </c>
      <c r="AD37" s="3"/>
    </row>
    <row r="38" spans="1:70" x14ac:dyDescent="0.25">
      <c r="B38" s="3"/>
      <c r="C38" s="34" t="s">
        <v>15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7"/>
      <c r="AD38" s="3"/>
    </row>
    <row r="39" spans="1:70" s="15" customFormat="1" x14ac:dyDescent="0.25">
      <c r="A39" s="10"/>
      <c r="B39" s="11"/>
      <c r="C39" s="30" t="str">
        <f>C33</f>
        <v>брой кораби</v>
      </c>
      <c r="D39" s="13">
        <v>171.5</v>
      </c>
      <c r="E39" s="13">
        <f>D39*(1+'[11]Статистика-речен'!$C$33)</f>
        <v>172.19024333301243</v>
      </c>
      <c r="F39" s="13">
        <f>E39*(1+'[11]Статистика-речен'!$C$33)</f>
        <v>172.88326471767948</v>
      </c>
      <c r="G39" s="13">
        <f>F39*(1+'[11]Статистика-речен'!$C$33)</f>
        <v>173.57907533494361</v>
      </c>
      <c r="H39" s="13">
        <f>G39*(1+'[11]Статистика-речен'!$C$33)</f>
        <v>174.27768641074772</v>
      </c>
      <c r="I39" s="13">
        <f>H39*(1+'[11]Статистика-речен'!$C$33)</f>
        <v>174.97910921621622</v>
      </c>
      <c r="J39" s="13">
        <f>I39*(1+'[11]Статистика-речен'!$C$33)</f>
        <v>175.68335506783689</v>
      </c>
      <c r="K39" s="13">
        <f>J39*(1+'[11]Статистика-речен'!$C$33)</f>
        <v>176.39043532764347</v>
      </c>
      <c r="L39" s="13">
        <f>K39*(1+'[11]Статистика-речен'!$C$33)</f>
        <v>177.10036140339895</v>
      </c>
      <c r="M39" s="13">
        <f>L39*(1+'[11]Статистика-речен'!$C$33)</f>
        <v>177.81314474877962</v>
      </c>
      <c r="N39" s="13">
        <f>M39*(1+'[11]Статистика-речен'!$C$33)</f>
        <v>178.5287968635599</v>
      </c>
      <c r="O39" s="13">
        <f>N39*(1+'[11]Статистика-речен'!$C$33)</f>
        <v>179.2473292937978</v>
      </c>
      <c r="P39" s="13">
        <f>O39*(1+'[11]Статистика-речен'!$C$33)</f>
        <v>179.96875363202128</v>
      </c>
      <c r="Q39" s="13">
        <f>P39*(1+'[11]Статистика-речен'!$C$33)</f>
        <v>180.69308151741521</v>
      </c>
      <c r="R39" s="13">
        <f>Q39*(1+'[11]Статистика-речен'!$C$33)</f>
        <v>181.42032463600918</v>
      </c>
      <c r="S39" s="13">
        <f>R39*(1+'[11]Статистика-речен'!$C$33)</f>
        <v>182.15049472086605</v>
      </c>
      <c r="T39" s="13">
        <f>S39*(1+'[11]Статистика-речен'!$C$33)</f>
        <v>182.88360355227124</v>
      </c>
      <c r="U39" s="13">
        <f>T39*(1+'[11]Статистика-речен'!$C$33)</f>
        <v>183.6196629579228</v>
      </c>
      <c r="V39" s="13">
        <f>U39*(1+'[11]Статистика-речен'!$C$33)</f>
        <v>184.35868481312218</v>
      </c>
      <c r="W39" s="13">
        <f>V39*(1+'[11]Статистика-речен'!$C$33)</f>
        <v>185.1006810409659</v>
      </c>
      <c r="X39" s="13">
        <f>W39*(1+'[11]Статистика-речен'!$C$33)</f>
        <v>185.84566361253781</v>
      </c>
      <c r="Y39" s="13">
        <f>X39*(1+'[11]Статистика-речен'!$C$33)</f>
        <v>186.59364454710237</v>
      </c>
      <c r="Z39" s="13">
        <f>Y39*(1+'[11]Статистика-речен'!$C$33)</f>
        <v>187.34463591229846</v>
      </c>
      <c r="AA39" s="13">
        <f>Z39*(1+'[11]Статистика-речен'!$C$33)</f>
        <v>188.09864982433405</v>
      </c>
      <c r="AB39" s="13">
        <f>AA39*(1+'[11]Статистика-речен'!$C$33)</f>
        <v>188.85569844818176</v>
      </c>
      <c r="AC39" s="14">
        <f>AB39*(1+'[11]Статистика-речен'!$C$33)</f>
        <v>189.61579399777511</v>
      </c>
      <c r="AD39" s="11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s="15" customFormat="1" ht="13.7" customHeight="1" x14ac:dyDescent="0.25">
      <c r="A40" s="10"/>
      <c r="B40" s="11"/>
      <c r="C40" s="253" t="str">
        <f t="shared" ref="C40:C43" si="7">C34</f>
        <v>количества отпадъци в м³ по видове отпадъци годишно</v>
      </c>
      <c r="D40" s="254"/>
      <c r="E40" s="254"/>
      <c r="F40" s="255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22"/>
      <c r="AD40" s="11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</row>
    <row r="41" spans="1:70" ht="30" x14ac:dyDescent="0.25">
      <c r="B41" s="3"/>
      <c r="C41" s="31" t="str">
        <f t="shared" si="7"/>
        <v>Анекс I- нефтени замърсявания</v>
      </c>
      <c r="D41" s="18">
        <f>D39*'[11]Статистика-речен'!$J$24</f>
        <v>174.03185592329172</v>
      </c>
      <c r="E41" s="18">
        <f>E39*'[11]Статистика-речен'!$J$24</f>
        <v>174.73228932435779</v>
      </c>
      <c r="F41" s="18">
        <f>F39*'[11]Статистика-речен'!$J$24</f>
        <v>175.43554178947812</v>
      </c>
      <c r="G41" s="18">
        <f>G39*'[11]Статистика-речен'!$J$24</f>
        <v>176.1416246646595</v>
      </c>
      <c r="H41" s="18">
        <f>H39*'[11]Статистика-речен'!$J$24</f>
        <v>176.85054934157353</v>
      </c>
      <c r="I41" s="18">
        <f>I39*'[11]Статистика-речен'!$J$24</f>
        <v>177.56232725774032</v>
      </c>
      <c r="J41" s="18">
        <f>J39*'[11]Статистика-речен'!$J$24</f>
        <v>178.27696989671307</v>
      </c>
      <c r="K41" s="18">
        <f>K39*'[11]Статистика-речен'!$J$24</f>
        <v>178.99448878826328</v>
      </c>
      <c r="L41" s="18">
        <f>L39*'[11]Статистика-речен'!$J$24</f>
        <v>179.71489550856688</v>
      </c>
      <c r="M41" s="18">
        <f>M39*'[11]Статистика-речен'!$J$24</f>
        <v>180.43820168039085</v>
      </c>
      <c r="N41" s="18">
        <f>N39*'[11]Статистика-речен'!$J$24</f>
        <v>181.16441897328087</v>
      </c>
      <c r="O41" s="18">
        <f>O39*'[11]Статистика-речен'!$J$24</f>
        <v>181.89355910374954</v>
      </c>
      <c r="P41" s="18">
        <f>P39*'[11]Статистика-речен'!$J$24</f>
        <v>182.62563383546535</v>
      </c>
      <c r="Q41" s="18">
        <f>Q39*'[11]Статистика-речен'!$J$24</f>
        <v>183.36065497944261</v>
      </c>
      <c r="R41" s="18">
        <f>R39*'[11]Статистика-речен'!$J$24</f>
        <v>184.09863439423185</v>
      </c>
      <c r="S41" s="18">
        <f>S39*'[11]Статистика-речен'!$J$24</f>
        <v>184.83958398611119</v>
      </c>
      <c r="T41" s="18">
        <f>T39*'[11]Статистика-речен'!$J$24</f>
        <v>185.58351570927854</v>
      </c>
      <c r="U41" s="18">
        <f>U39*'[11]Статистика-речен'!$J$24</f>
        <v>186.33044156604436</v>
      </c>
      <c r="V41" s="18">
        <f>V39*'[11]Статистика-речен'!$J$24</f>
        <v>187.08037360702522</v>
      </c>
      <c r="W41" s="18">
        <f>W39*'[11]Статистика-речен'!$J$24</f>
        <v>187.8333239313385</v>
      </c>
      <c r="X41" s="18">
        <f>X39*'[11]Статистика-речен'!$J$24</f>
        <v>188.58930468679719</v>
      </c>
      <c r="Y41" s="18">
        <f>Y39*'[11]Статистика-речен'!$J$24</f>
        <v>189.34832807010628</v>
      </c>
      <c r="Z41" s="18">
        <f>Z39*'[11]Статистика-речен'!$J$24</f>
        <v>190.11040632705928</v>
      </c>
      <c r="AA41" s="18">
        <f>AA39*'[11]Статистика-речен'!$J$24</f>
        <v>190.87555175273587</v>
      </c>
      <c r="AB41" s="18">
        <f>AB39*'[11]Статистика-речен'!$J$24</f>
        <v>191.64377669170025</v>
      </c>
      <c r="AC41" s="19">
        <f>AC39*'[11]Статистика-речен'!$J$24</f>
        <v>192.41509353820035</v>
      </c>
      <c r="AD41" s="3"/>
    </row>
    <row r="42" spans="1:70" x14ac:dyDescent="0.25">
      <c r="B42" s="3"/>
      <c r="C42" s="31" t="str">
        <f t="shared" si="7"/>
        <v>Анекс IV- отпадъчни води</v>
      </c>
      <c r="D42" s="18">
        <f>D39*'[11]Статистика-речен'!$J$25</f>
        <v>23.363018267367842</v>
      </c>
      <c r="E42" s="18">
        <f>E39*'[11]Статистика-речен'!$J$25</f>
        <v>23.457048399135179</v>
      </c>
      <c r="F42" s="18">
        <f>F39*'[11]Статистика-речен'!$J$25</f>
        <v>23.551456977966971</v>
      </c>
      <c r="G42" s="18">
        <f>G39*'[11]Статистика-речен'!$J$25</f>
        <v>23.646245527015196</v>
      </c>
      <c r="H42" s="18">
        <f>H39*'[11]Статистика-речен'!$J$25</f>
        <v>23.741415575562119</v>
      </c>
      <c r="I42" s="18">
        <f>I39*'[11]Статистика-речен'!$J$25</f>
        <v>23.836968659044967</v>
      </c>
      <c r="J42" s="18">
        <f>J39*'[11]Статистика-речен'!$J$25</f>
        <v>23.932906319080722</v>
      </c>
      <c r="K42" s="18">
        <f>K39*'[11]Статистика-речен'!$J$25</f>
        <v>24.029230103490963</v>
      </c>
      <c r="L42" s="18">
        <f>L39*'[11]Статистика-речен'!$J$25</f>
        <v>24.125941566326858</v>
      </c>
      <c r="M42" s="18">
        <f>M39*'[11]Статистика-речен'!$J$25</f>
        <v>24.223042267894229</v>
      </c>
      <c r="N42" s="18">
        <f>N39*'[11]Статистика-речен'!$J$25</f>
        <v>24.320533774778731</v>
      </c>
      <c r="O42" s="18">
        <f>O39*'[11]Статистика-речен'!$J$25</f>
        <v>24.418417659871118</v>
      </c>
      <c r="P42" s="18">
        <f>P39*'[11]Статистика-речен'!$J$25</f>
        <v>24.516695502392626</v>
      </c>
      <c r="Q42" s="18">
        <f>Q39*'[11]Статистика-речен'!$J$25</f>
        <v>24.615368887920454</v>
      </c>
      <c r="R42" s="18">
        <f>R39*'[11]Статистика-речен'!$J$25</f>
        <v>24.714439408413334</v>
      </c>
      <c r="S42" s="18">
        <f>S39*'[11]Статистика-речен'!$J$25</f>
        <v>24.813908662237218</v>
      </c>
      <c r="T42" s="18">
        <f>T39*'[11]Статистика-речен'!$J$25</f>
        <v>24.913778254191087</v>
      </c>
      <c r="U42" s="18">
        <f>U39*'[11]Статистика-речен'!$J$25</f>
        <v>25.014049795532806</v>
      </c>
      <c r="V42" s="18">
        <f>V39*'[11]Статистика-речен'!$J$25</f>
        <v>25.114724904005154</v>
      </c>
      <c r="W42" s="18">
        <f>W39*'[11]Статистика-речен'!$J$25</f>
        <v>25.215805203861891</v>
      </c>
      <c r="X42" s="18">
        <f>X39*'[11]Статистика-речен'!$J$25</f>
        <v>25.317292325893991</v>
      </c>
      <c r="Y42" s="18">
        <f>Y39*'[11]Статистика-речен'!$J$25</f>
        <v>25.419187907455946</v>
      </c>
      <c r="Z42" s="18">
        <f>Z39*'[11]Статистика-речен'!$J$25</f>
        <v>25.521493592492163</v>
      </c>
      <c r="AA42" s="18">
        <f>AA39*'[11]Статистика-речен'!$J$25</f>
        <v>25.624211031563515</v>
      </c>
      <c r="AB42" s="18">
        <f>AB39*'[11]Статистика-речен'!$J$25</f>
        <v>25.727341881873951</v>
      </c>
      <c r="AC42" s="19">
        <f>AC39*'[11]Статистика-речен'!$J$25</f>
        <v>25.830887807297245</v>
      </c>
      <c r="AD42" s="3"/>
    </row>
    <row r="43" spans="1:70" ht="15.75" thickBot="1" x14ac:dyDescent="0.3">
      <c r="B43" s="3"/>
      <c r="C43" s="32" t="str">
        <f t="shared" si="7"/>
        <v>Анекс V- битови отпадъци</v>
      </c>
      <c r="D43" s="23">
        <f>D39*'[11]Статистика-речен'!$J$26</f>
        <v>124.24707445336287</v>
      </c>
      <c r="E43" s="23">
        <f>E39*'[11]Статистика-речен'!$J$26</f>
        <v>124.74713693025927</v>
      </c>
      <c r="F43" s="23">
        <f>F39*'[11]Статистика-речен'!$J$26</f>
        <v>125.24921202984235</v>
      </c>
      <c r="G43" s="23">
        <f>G39*'[11]Статистика-речен'!$J$26</f>
        <v>125.75330785240013</v>
      </c>
      <c r="H43" s="23">
        <f>H39*'[11]Статистика-речен'!$J$26</f>
        <v>126.25943253082214</v>
      </c>
      <c r="I43" s="23">
        <f>I39*'[11]Статистика-речен'!$J$26</f>
        <v>126.76759423073078</v>
      </c>
      <c r="J43" s="23">
        <f>J39*'[11]Статистика-речен'!$J$26</f>
        <v>127.27780115061292</v>
      </c>
      <c r="K43" s="23">
        <f>K39*'[11]Статистика-речен'!$J$26</f>
        <v>127.79006152195223</v>
      </c>
      <c r="L43" s="23">
        <f>L39*'[11]Статистика-речен'!$J$26</f>
        <v>128.30438360936199</v>
      </c>
      <c r="M43" s="23">
        <f>M39*'[11]Статистика-речен'!$J$26</f>
        <v>128.82077571071844</v>
      </c>
      <c r="N43" s="23">
        <f>N39*'[11]Статистика-речен'!$J$26</f>
        <v>129.33924615729458</v>
      </c>
      <c r="O43" s="23">
        <f>O39*'[11]Статистика-речен'!$J$26</f>
        <v>129.85980331389473</v>
      </c>
      <c r="P43" s="23">
        <f>P39*'[11]Статистика-речен'!$J$26</f>
        <v>130.38245557898932</v>
      </c>
      <c r="Q43" s="23">
        <f>Q39*'[11]Статистика-речен'!$J$26</f>
        <v>130.90721138485046</v>
      </c>
      <c r="R43" s="23">
        <f>R39*'[11]Статистика-речен'!$J$26</f>
        <v>131.43407919768802</v>
      </c>
      <c r="S43" s="23">
        <f>S39*'[11]Статистика-речен'!$J$26</f>
        <v>131.96306751778616</v>
      </c>
      <c r="T43" s="23">
        <f>T39*'[11]Статистика-речен'!$J$26</f>
        <v>132.49418487964047</v>
      </c>
      <c r="U43" s="23">
        <f>U39*'[11]Статистика-речен'!$J$26</f>
        <v>133.0274398520958</v>
      </c>
      <c r="V43" s="23">
        <f>V39*'[11]Статистика-речен'!$J$26</f>
        <v>133.56284103848427</v>
      </c>
      <c r="W43" s="23">
        <f>W39*'[11]Статистика-речен'!$J$26</f>
        <v>134.10039707676421</v>
      </c>
      <c r="X43" s="23">
        <f>X39*'[11]Статистика-речен'!$J$26</f>
        <v>134.64011663965957</v>
      </c>
      <c r="Y43" s="23">
        <f>Y39*'[11]Статистика-речен'!$J$26</f>
        <v>135.18200843479974</v>
      </c>
      <c r="Z43" s="23">
        <f>Z39*'[11]Статистика-речен'!$J$26</f>
        <v>135.72608120486009</v>
      </c>
      <c r="AA43" s="23">
        <f>AA39*'[11]Статистика-речен'!$J$26</f>
        <v>136.27234372770297</v>
      </c>
      <c r="AB43" s="23">
        <f>AB39*'[11]Статистика-речен'!$J$26</f>
        <v>136.82080481651946</v>
      </c>
      <c r="AC43" s="86">
        <f>AC39*'[11]Статистика-речен'!$J$26</f>
        <v>137.3714733199713</v>
      </c>
      <c r="AD43" s="3"/>
    </row>
    <row r="44" spans="1:70" ht="30" x14ac:dyDescent="0.25">
      <c r="B44" s="3"/>
      <c r="C44" s="36" t="s">
        <v>117</v>
      </c>
      <c r="D44" s="88">
        <f t="shared" ref="D44:AC44" si="8">D27+D33+D39</f>
        <v>6564.5</v>
      </c>
      <c r="E44" s="88">
        <f t="shared" si="8"/>
        <v>6590.9204219216326</v>
      </c>
      <c r="F44" s="88">
        <f t="shared" si="8"/>
        <v>6617.4471792373579</v>
      </c>
      <c r="G44" s="88">
        <f t="shared" si="8"/>
        <v>6644.0806999197512</v>
      </c>
      <c r="H44" s="88">
        <f t="shared" si="8"/>
        <v>6670.821413663869</v>
      </c>
      <c r="I44" s="88">
        <f t="shared" si="8"/>
        <v>6697.6697518941774</v>
      </c>
      <c r="J44" s="88">
        <f t="shared" si="8"/>
        <v>6724.626147771517</v>
      </c>
      <c r="K44" s="88">
        <f t="shared" si="8"/>
        <v>6751.6910362000908</v>
      </c>
      <c r="L44" s="88">
        <f t="shared" si="8"/>
        <v>6778.8648538344742</v>
      </c>
      <c r="M44" s="88">
        <f t="shared" si="8"/>
        <v>6806.1480390866691</v>
      </c>
      <c r="N44" s="88">
        <f t="shared" si="8"/>
        <v>6833.5410321331719</v>
      </c>
      <c r="O44" s="88">
        <f t="shared" si="8"/>
        <v>6861.0442749220738</v>
      </c>
      <c r="P44" s="88">
        <f t="shared" si="8"/>
        <v>6888.6582111801972</v>
      </c>
      <c r="Q44" s="88">
        <f t="shared" si="8"/>
        <v>6916.3832864202459</v>
      </c>
      <c r="R44" s="88">
        <f t="shared" si="8"/>
        <v>6944.2199479480014</v>
      </c>
      <c r="S44" s="88">
        <f t="shared" si="8"/>
        <v>6972.1686448695345</v>
      </c>
      <c r="T44" s="88">
        <f t="shared" si="8"/>
        <v>7000.2298280984523</v>
      </c>
      <c r="U44" s="88">
        <f t="shared" si="8"/>
        <v>7028.403950363173</v>
      </c>
      <c r="V44" s="88">
        <f t="shared" si="8"/>
        <v>7056.6914662142317</v>
      </c>
      <c r="W44" s="88">
        <f t="shared" si="8"/>
        <v>7085.092832031607</v>
      </c>
      <c r="X44" s="88">
        <f t="shared" si="8"/>
        <v>7113.6085060320956</v>
      </c>
      <c r="Y44" s="88">
        <f t="shared" si="8"/>
        <v>7142.2389482766966</v>
      </c>
      <c r="Z44" s="88">
        <f t="shared" si="8"/>
        <v>7170.9846206780358</v>
      </c>
      <c r="AA44" s="88">
        <f t="shared" si="8"/>
        <v>7199.8459870078177</v>
      </c>
      <c r="AB44" s="88">
        <f t="shared" si="8"/>
        <v>7228.8235129043105</v>
      </c>
      <c r="AC44" s="89">
        <f t="shared" si="8"/>
        <v>7257.9176658798524</v>
      </c>
      <c r="AD44" s="3"/>
    </row>
    <row r="45" spans="1:70" ht="45.75" thickBot="1" x14ac:dyDescent="0.3">
      <c r="B45" s="3"/>
      <c r="C45" s="87" t="s">
        <v>116</v>
      </c>
      <c r="D45" s="90">
        <v>0</v>
      </c>
      <c r="E45" s="90">
        <v>0</v>
      </c>
      <c r="F45" s="90">
        <v>0</v>
      </c>
      <c r="G45" s="90">
        <v>0</v>
      </c>
      <c r="H45" s="90">
        <v>0</v>
      </c>
      <c r="I45" s="90">
        <v>0</v>
      </c>
      <c r="J45" s="90">
        <f>SUM(J29:J31)+SUM(J35:J37)+SUM(J41:J43)</f>
        <v>12611.789259893743</v>
      </c>
      <c r="K45" s="90">
        <f t="shared" ref="K45:AC45" si="9">SUM(K29:K31)+SUM(K35:K37)+SUM(K41:K43)</f>
        <v>12662.548463707146</v>
      </c>
      <c r="L45" s="90">
        <f t="shared" si="9"/>
        <v>12713.511960243712</v>
      </c>
      <c r="M45" s="90">
        <f t="shared" si="9"/>
        <v>12764.68057172903</v>
      </c>
      <c r="N45" s="90">
        <f t="shared" si="9"/>
        <v>12816.055123697946</v>
      </c>
      <c r="O45" s="90">
        <f t="shared" si="9"/>
        <v>12867.636445007869</v>
      </c>
      <c r="P45" s="90">
        <f t="shared" si="9"/>
        <v>12919.425367852156</v>
      </c>
      <c r="Q45" s="90">
        <f t="shared" si="9"/>
        <v>12971.422727773504</v>
      </c>
      <c r="R45" s="90">
        <f t="shared" si="9"/>
        <v>13023.629363677475</v>
      </c>
      <c r="S45" s="90">
        <f t="shared" si="9"/>
        <v>13076.046117846006</v>
      </c>
      <c r="T45" s="90">
        <f t="shared" si="9"/>
        <v>13128.673835951</v>
      </c>
      <c r="U45" s="90">
        <f t="shared" si="9"/>
        <v>13181.513367067966</v>
      </c>
      <c r="V45" s="90">
        <f t="shared" si="9"/>
        <v>13234.56556368973</v>
      </c>
      <c r="W45" s="90">
        <f t="shared" si="9"/>
        <v>13287.831281740182</v>
      </c>
      <c r="X45" s="90">
        <f t="shared" si="9"/>
        <v>13341.311380588084</v>
      </c>
      <c r="Y45" s="90">
        <f t="shared" si="9"/>
        <v>13395.006723060935</v>
      </c>
      <c r="Z45" s="90">
        <f t="shared" si="9"/>
        <v>13448.918175458888</v>
      </c>
      <c r="AA45" s="90">
        <f t="shared" si="9"/>
        <v>13503.046607568744</v>
      </c>
      <c r="AB45" s="90">
        <f t="shared" si="9"/>
        <v>13557.392892677959</v>
      </c>
      <c r="AC45" s="91">
        <f t="shared" si="9"/>
        <v>13611.957907588752</v>
      </c>
      <c r="AD45" s="3"/>
    </row>
    <row r="46" spans="1:70" ht="4.3499999999999996" customHeight="1" x14ac:dyDescent="0.25">
      <c r="B46" s="3"/>
      <c r="C46" s="27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1:70" s="2" customFormat="1" x14ac:dyDescent="0.25">
      <c r="C47" s="26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</row>
    <row r="48" spans="1:70" s="2" customFormat="1" x14ac:dyDescent="0.25">
      <c r="C48" s="26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</row>
    <row r="49" spans="3:30" s="2" customFormat="1" x14ac:dyDescent="0.25">
      <c r="C49" s="26"/>
    </row>
    <row r="50" spans="3:30" s="2" customFormat="1" x14ac:dyDescent="0.25">
      <c r="C50" s="26"/>
    </row>
    <row r="51" spans="3:30" s="2" customFormat="1" x14ac:dyDescent="0.25">
      <c r="C51" s="26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</row>
    <row r="52" spans="3:30" s="2" customFormat="1" x14ac:dyDescent="0.25">
      <c r="C52" s="26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</row>
    <row r="53" spans="3:30" s="2" customFormat="1" x14ac:dyDescent="0.25">
      <c r="C53" s="26"/>
    </row>
    <row r="54" spans="3:30" s="2" customFormat="1" x14ac:dyDescent="0.25">
      <c r="C54" s="26"/>
      <c r="I54" s="25"/>
    </row>
    <row r="55" spans="3:30" s="2" customFormat="1" x14ac:dyDescent="0.25">
      <c r="C55" s="26"/>
    </row>
    <row r="56" spans="3:30" s="2" customFormat="1" x14ac:dyDescent="0.25">
      <c r="C56" s="26"/>
    </row>
    <row r="57" spans="3:30" s="2" customFormat="1" x14ac:dyDescent="0.25">
      <c r="C57" s="26"/>
    </row>
    <row r="58" spans="3:30" s="2" customFormat="1" x14ac:dyDescent="0.25">
      <c r="C58" s="26"/>
    </row>
    <row r="59" spans="3:30" s="2" customFormat="1" x14ac:dyDescent="0.25">
      <c r="C59" s="26"/>
    </row>
    <row r="60" spans="3:30" s="2" customFormat="1" x14ac:dyDescent="0.25">
      <c r="C60" s="26"/>
    </row>
    <row r="61" spans="3:30" s="2" customFormat="1" x14ac:dyDescent="0.25">
      <c r="C61" s="26"/>
    </row>
    <row r="62" spans="3:30" s="2" customFormat="1" x14ac:dyDescent="0.25">
      <c r="C62" s="26"/>
    </row>
    <row r="63" spans="3:30" s="2" customFormat="1" x14ac:dyDescent="0.25">
      <c r="C63" s="26"/>
    </row>
    <row r="64" spans="3:30" s="2" customFormat="1" x14ac:dyDescent="0.25">
      <c r="C64" s="26"/>
    </row>
    <row r="65" spans="3:3" s="2" customFormat="1" x14ac:dyDescent="0.25">
      <c r="C65" s="26"/>
    </row>
    <row r="66" spans="3:3" s="2" customFormat="1" x14ac:dyDescent="0.25">
      <c r="C66" s="26"/>
    </row>
    <row r="67" spans="3:3" s="2" customFormat="1" x14ac:dyDescent="0.25">
      <c r="C67" s="26"/>
    </row>
    <row r="68" spans="3:3" s="2" customFormat="1" x14ac:dyDescent="0.25">
      <c r="C68" s="26"/>
    </row>
    <row r="69" spans="3:3" s="2" customFormat="1" x14ac:dyDescent="0.25">
      <c r="C69" s="26"/>
    </row>
    <row r="70" spans="3:3" s="2" customFormat="1" x14ac:dyDescent="0.25">
      <c r="C70" s="26"/>
    </row>
    <row r="71" spans="3:3" s="2" customFormat="1" x14ac:dyDescent="0.25">
      <c r="C71" s="26"/>
    </row>
    <row r="72" spans="3:3" s="2" customFormat="1" x14ac:dyDescent="0.25">
      <c r="C72" s="26"/>
    </row>
    <row r="73" spans="3:3" s="2" customFormat="1" x14ac:dyDescent="0.25">
      <c r="C73" s="26"/>
    </row>
    <row r="74" spans="3:3" s="2" customFormat="1" x14ac:dyDescent="0.25">
      <c r="C74" s="26"/>
    </row>
    <row r="75" spans="3:3" s="2" customFormat="1" x14ac:dyDescent="0.25">
      <c r="C75" s="26"/>
    </row>
    <row r="76" spans="3:3" s="2" customFormat="1" x14ac:dyDescent="0.25">
      <c r="C76" s="26"/>
    </row>
    <row r="77" spans="3:3" s="2" customFormat="1" x14ac:dyDescent="0.25">
      <c r="C77" s="26"/>
    </row>
    <row r="78" spans="3:3" s="2" customFormat="1" x14ac:dyDescent="0.25">
      <c r="C78" s="26"/>
    </row>
    <row r="79" spans="3:3" s="2" customFormat="1" x14ac:dyDescent="0.25">
      <c r="C79" s="26"/>
    </row>
    <row r="80" spans="3:3" s="2" customFormat="1" x14ac:dyDescent="0.25">
      <c r="C80" s="26"/>
    </row>
    <row r="81" spans="3:3" s="2" customFormat="1" x14ac:dyDescent="0.25">
      <c r="C81" s="26"/>
    </row>
    <row r="82" spans="3:3" s="2" customFormat="1" x14ac:dyDescent="0.25">
      <c r="C82" s="26"/>
    </row>
    <row r="83" spans="3:3" s="2" customFormat="1" x14ac:dyDescent="0.25">
      <c r="C83" s="26"/>
    </row>
    <row r="84" spans="3:3" s="2" customFormat="1" x14ac:dyDescent="0.25">
      <c r="C84" s="26"/>
    </row>
    <row r="85" spans="3:3" s="2" customFormat="1" x14ac:dyDescent="0.25">
      <c r="C85" s="26"/>
    </row>
    <row r="86" spans="3:3" s="2" customFormat="1" x14ac:dyDescent="0.25">
      <c r="C86" s="26"/>
    </row>
    <row r="87" spans="3:3" s="2" customFormat="1" x14ac:dyDescent="0.25">
      <c r="C87" s="26"/>
    </row>
    <row r="88" spans="3:3" s="2" customFormat="1" x14ac:dyDescent="0.25">
      <c r="C88" s="26"/>
    </row>
    <row r="89" spans="3:3" s="2" customFormat="1" x14ac:dyDescent="0.25">
      <c r="C89" s="26"/>
    </row>
    <row r="90" spans="3:3" s="2" customFormat="1" x14ac:dyDescent="0.25">
      <c r="C90" s="26"/>
    </row>
    <row r="91" spans="3:3" s="2" customFormat="1" x14ac:dyDescent="0.25">
      <c r="C91" s="26"/>
    </row>
    <row r="92" spans="3:3" s="2" customFormat="1" x14ac:dyDescent="0.25">
      <c r="C92" s="26"/>
    </row>
    <row r="93" spans="3:3" s="2" customFormat="1" x14ac:dyDescent="0.25">
      <c r="C93" s="26"/>
    </row>
    <row r="94" spans="3:3" s="2" customFormat="1" x14ac:dyDescent="0.25">
      <c r="C94" s="26"/>
    </row>
    <row r="95" spans="3:3" s="2" customFormat="1" x14ac:dyDescent="0.25">
      <c r="C95" s="26"/>
    </row>
    <row r="96" spans="3:3" s="2" customFormat="1" x14ac:dyDescent="0.25">
      <c r="C96" s="26"/>
    </row>
    <row r="97" spans="3:3" s="2" customFormat="1" x14ac:dyDescent="0.25">
      <c r="C97" s="26"/>
    </row>
    <row r="98" spans="3:3" s="2" customFormat="1" x14ac:dyDescent="0.25">
      <c r="C98" s="26"/>
    </row>
    <row r="99" spans="3:3" s="2" customFormat="1" x14ac:dyDescent="0.25">
      <c r="C99" s="26"/>
    </row>
    <row r="100" spans="3:3" s="2" customFormat="1" x14ac:dyDescent="0.25">
      <c r="C100" s="26"/>
    </row>
    <row r="101" spans="3:3" s="2" customFormat="1" x14ac:dyDescent="0.25">
      <c r="C101" s="26"/>
    </row>
    <row r="102" spans="3:3" s="2" customFormat="1" x14ac:dyDescent="0.25">
      <c r="C102" s="26"/>
    </row>
    <row r="103" spans="3:3" s="2" customFormat="1" x14ac:dyDescent="0.25">
      <c r="C103" s="26"/>
    </row>
    <row r="104" spans="3:3" s="2" customFormat="1" x14ac:dyDescent="0.25">
      <c r="C104" s="26"/>
    </row>
    <row r="105" spans="3:3" s="2" customFormat="1" x14ac:dyDescent="0.25">
      <c r="C105" s="26"/>
    </row>
    <row r="106" spans="3:3" s="2" customFormat="1" x14ac:dyDescent="0.25">
      <c r="C106" s="26"/>
    </row>
    <row r="107" spans="3:3" s="2" customFormat="1" x14ac:dyDescent="0.25">
      <c r="C107" s="26"/>
    </row>
    <row r="108" spans="3:3" s="2" customFormat="1" x14ac:dyDescent="0.25">
      <c r="C108" s="26"/>
    </row>
    <row r="109" spans="3:3" s="2" customFormat="1" x14ac:dyDescent="0.25">
      <c r="C109" s="26"/>
    </row>
    <row r="110" spans="3:3" s="2" customFormat="1" x14ac:dyDescent="0.25">
      <c r="C110" s="26"/>
    </row>
    <row r="111" spans="3:3" s="2" customFormat="1" x14ac:dyDescent="0.25">
      <c r="C111" s="26"/>
    </row>
    <row r="112" spans="3:3" s="2" customFormat="1" x14ac:dyDescent="0.25">
      <c r="C112" s="26"/>
    </row>
    <row r="113" spans="3:3" s="2" customFormat="1" x14ac:dyDescent="0.25">
      <c r="C113" s="26"/>
    </row>
    <row r="114" spans="3:3" s="2" customFormat="1" x14ac:dyDescent="0.25">
      <c r="C114" s="26"/>
    </row>
    <row r="115" spans="3:3" s="2" customFormat="1" x14ac:dyDescent="0.25">
      <c r="C115" s="26"/>
    </row>
  </sheetData>
  <mergeCells count="8">
    <mergeCell ref="C40:F40"/>
    <mergeCell ref="C34:F34"/>
    <mergeCell ref="C28:F28"/>
    <mergeCell ref="D2:I3"/>
    <mergeCell ref="D4:I4"/>
    <mergeCell ref="C17:H17"/>
    <mergeCell ref="C6:K6"/>
    <mergeCell ref="C24:K24"/>
  </mergeCells>
  <pageMargins left="0.19685039370078741" right="0.19685039370078741" top="0.98425196850393704" bottom="0.78740157480314965" header="0.19685039370078741" footer="0.19685039370078741"/>
  <pageSetup paperSize="8" scale="79" orientation="landscape" r:id="rId1"/>
  <headerFooter>
    <oddHeader>&amp;C&amp;G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18"/>
  <sheetViews>
    <sheetView topLeftCell="A44" zoomScaleNormal="100" workbookViewId="0">
      <selection activeCell="G52" sqref="G52"/>
    </sheetView>
  </sheetViews>
  <sheetFormatPr defaultRowHeight="15" x14ac:dyDescent="0.25"/>
  <cols>
    <col min="1" max="1" width="4.85546875" style="92" customWidth="1"/>
    <col min="2" max="2" width="0.85546875" style="92" customWidth="1"/>
    <col min="3" max="3" width="31.5703125" customWidth="1"/>
    <col min="4" max="4" width="17.140625" customWidth="1"/>
    <col min="5" max="5" width="1" customWidth="1"/>
    <col min="6" max="6" width="12.28515625" customWidth="1"/>
    <col min="7" max="7" width="11.140625" customWidth="1"/>
    <col min="8" max="8" width="10.7109375" customWidth="1"/>
    <col min="9" max="9" width="10.42578125" customWidth="1"/>
    <col min="10" max="10" width="12.42578125" customWidth="1"/>
    <col min="11" max="11" width="13.140625" customWidth="1"/>
    <col min="12" max="12" width="11.7109375" customWidth="1"/>
    <col min="13" max="13" width="11.5703125" customWidth="1"/>
    <col min="14" max="15" width="9.28515625" bestFit="1" customWidth="1"/>
    <col min="16" max="16" width="9.28515625" style="92"/>
    <col min="17" max="17" width="12.42578125" style="92" customWidth="1"/>
    <col min="18" max="18" width="10" style="92" customWidth="1"/>
    <col min="19" max="19" width="10.28515625" style="92" customWidth="1"/>
    <col min="20" max="20" width="10.140625" style="92" customWidth="1"/>
    <col min="21" max="21" width="9.5703125" style="92" customWidth="1"/>
    <col min="22" max="22" width="9.85546875" style="92" customWidth="1"/>
    <col min="23" max="23" width="10.5703125" style="92" customWidth="1"/>
    <col min="24" max="26" width="10.140625" style="92" customWidth="1"/>
    <col min="27" max="27" width="10.42578125" style="92" customWidth="1"/>
    <col min="28" max="28" width="10.28515625" style="92" customWidth="1"/>
    <col min="29" max="29" width="10.140625" style="92" customWidth="1"/>
    <col min="30" max="30" width="12.140625" style="92" customWidth="1"/>
    <col min="31" max="42" width="9.28515625" style="93"/>
  </cols>
  <sheetData>
    <row r="1" spans="1:42" s="93" customFormat="1" x14ac:dyDescent="0.25"/>
    <row r="2" spans="1:42" s="93" customFormat="1" ht="18.75" x14ac:dyDescent="0.3">
      <c r="C2" s="230" t="s">
        <v>125</v>
      </c>
    </row>
    <row r="3" spans="1:42" s="93" customFormat="1" ht="15.75" customHeight="1" x14ac:dyDescent="0.25">
      <c r="A3" s="92"/>
      <c r="B3" s="92"/>
      <c r="C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</row>
    <row r="4" spans="1:42" s="93" customFormat="1" ht="14.65" customHeight="1" x14ac:dyDescent="0.25">
      <c r="A4" s="92"/>
      <c r="B4" s="92"/>
      <c r="C4" s="92"/>
      <c r="D4" s="266" t="str">
        <f>'[11]Прогноза приходи'!D2</f>
        <v>Проект: Доставка, монтаж и въвеждане в експлоатация на  пристанищни приемни съоръжения (ППС) в българските пристанища за обществен транспорт с национално значение</v>
      </c>
      <c r="E4" s="267"/>
      <c r="F4" s="267"/>
      <c r="G4" s="267"/>
      <c r="H4" s="267"/>
      <c r="I4" s="267"/>
      <c r="J4" s="267"/>
      <c r="K4" s="267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</row>
    <row r="5" spans="1:42" s="93" customFormat="1" ht="17.100000000000001" customHeight="1" x14ac:dyDescent="0.25">
      <c r="A5" s="92"/>
      <c r="B5" s="92"/>
      <c r="C5" s="92"/>
      <c r="D5" s="266"/>
      <c r="E5" s="267"/>
      <c r="F5" s="267"/>
      <c r="G5" s="267"/>
      <c r="H5" s="267"/>
      <c r="I5" s="267"/>
      <c r="J5" s="267"/>
      <c r="K5" s="267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</row>
    <row r="6" spans="1:42" s="93" customFormat="1" ht="13.7" customHeight="1" x14ac:dyDescent="0.25">
      <c r="A6" s="92"/>
      <c r="B6" s="92"/>
      <c r="C6" s="92"/>
      <c r="D6" s="268" t="str">
        <f>'[11]Прогноза приходи'!D4</f>
        <v>Държавно предприятие Пристанищна инфраструктура</v>
      </c>
      <c r="E6" s="269"/>
      <c r="F6" s="269"/>
      <c r="G6" s="269"/>
      <c r="H6" s="269"/>
      <c r="I6" s="269"/>
      <c r="J6" s="269"/>
      <c r="K6" s="269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</row>
    <row r="7" spans="1:42" s="93" customFormat="1" ht="8.1" customHeight="1" x14ac:dyDescent="0.25">
      <c r="A7" s="92"/>
      <c r="B7" s="92"/>
      <c r="C7" s="92"/>
      <c r="D7" s="268"/>
      <c r="E7" s="269"/>
      <c r="F7" s="269"/>
      <c r="G7" s="269"/>
      <c r="H7" s="269"/>
      <c r="I7" s="269"/>
      <c r="J7" s="269"/>
      <c r="K7" s="269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</row>
    <row r="8" spans="1:42" s="92" customFormat="1" ht="17.100000000000001" customHeight="1" x14ac:dyDescent="0.25">
      <c r="D8" s="94"/>
      <c r="E8" s="94"/>
      <c r="F8" s="94"/>
      <c r="G8" s="94"/>
      <c r="H8" s="94"/>
      <c r="I8" s="94"/>
      <c r="J8" s="94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</row>
    <row r="9" spans="1:42" s="92" customFormat="1" ht="3.95" customHeight="1" thickBot="1" x14ac:dyDescent="0.3">
      <c r="B9" s="3"/>
      <c r="C9" s="3"/>
      <c r="D9" s="3"/>
      <c r="E9" s="3"/>
      <c r="F9" s="3"/>
      <c r="H9" s="3"/>
      <c r="I9" s="3"/>
      <c r="J9" s="3"/>
      <c r="K9" s="3"/>
      <c r="L9" s="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  <c r="AP9" s="93"/>
    </row>
    <row r="10" spans="1:42" s="93" customFormat="1" ht="30.95" customHeight="1" x14ac:dyDescent="0.25">
      <c r="A10" s="92"/>
      <c r="B10" s="3"/>
      <c r="C10" s="274" t="s">
        <v>77</v>
      </c>
      <c r="D10" s="274"/>
      <c r="E10" s="43"/>
      <c r="F10" s="95" t="s">
        <v>25</v>
      </c>
      <c r="H10" s="275" t="s">
        <v>78</v>
      </c>
      <c r="I10" s="276"/>
      <c r="J10" s="276"/>
      <c r="K10" s="277"/>
      <c r="L10" s="95" t="s">
        <v>26</v>
      </c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</row>
    <row r="11" spans="1:42" s="93" customFormat="1" ht="15.95" customHeight="1" x14ac:dyDescent="0.25">
      <c r="A11" s="92"/>
      <c r="B11" s="3"/>
      <c r="C11" s="288" t="s">
        <v>142</v>
      </c>
      <c r="D11" s="288"/>
      <c r="E11" s="43"/>
      <c r="F11" s="250">
        <f>'Инвестиции ОРГО'!E7+'Инвестиции ОРГО'!E8</f>
        <v>4997500</v>
      </c>
      <c r="G11" s="231">
        <f>F16/F11</f>
        <v>0.9678770801887524</v>
      </c>
      <c r="H11" s="289" t="str">
        <f>C11</f>
        <v>Общи инвестиционни раззходи</v>
      </c>
      <c r="I11" s="290"/>
      <c r="J11" s="290"/>
      <c r="K11" s="290"/>
      <c r="L11" s="251">
        <f>'Инвестиции ОРГО'!E15+'Инвестиции ОРГО'!E16</f>
        <v>4495500</v>
      </c>
      <c r="M11" s="231">
        <f>L16/L11</f>
        <v>0.96694499587030536</v>
      </c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</row>
    <row r="12" spans="1:42" s="93" customFormat="1" ht="17.100000000000001" customHeight="1" x14ac:dyDescent="0.25">
      <c r="A12" s="92"/>
      <c r="B12" s="3"/>
      <c r="C12" s="278" t="s">
        <v>74</v>
      </c>
      <c r="D12" s="278"/>
      <c r="E12" s="43"/>
      <c r="F12" s="96">
        <f>'Инвестиции ОРГО'!F7+'Инвестиции ОРГО'!F8</f>
        <v>4838292.8985371459</v>
      </c>
      <c r="H12" s="282" t="str">
        <f>C12</f>
        <v xml:space="preserve">Допустими разходи по ОРГО, дисконтирани </v>
      </c>
      <c r="I12" s="283"/>
      <c r="J12" s="283"/>
      <c r="K12" s="284"/>
      <c r="L12" s="96">
        <f>'Инвестиции ОРГО'!F15+'Инвестиции ОРГО'!F16</f>
        <v>4350728.7856428465</v>
      </c>
      <c r="M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</row>
    <row r="13" spans="1:42" s="93" customFormat="1" ht="15" customHeight="1" x14ac:dyDescent="0.25">
      <c r="A13" s="92"/>
      <c r="B13" s="3"/>
      <c r="C13" s="270" t="s">
        <v>27</v>
      </c>
      <c r="D13" s="270"/>
      <c r="E13" s="43"/>
      <c r="F13" s="97">
        <f>D23</f>
        <v>57241717.373651788</v>
      </c>
      <c r="H13" s="279" t="str">
        <f t="shared" ref="H13:H16" si="0">C13</f>
        <v>Приходи, дисконтирани</v>
      </c>
      <c r="I13" s="280"/>
      <c r="J13" s="280"/>
      <c r="K13" s="281"/>
      <c r="L13" s="233">
        <f>D35</f>
        <v>20387573.221748862</v>
      </c>
      <c r="M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</row>
    <row r="14" spans="1:42" s="93" customFormat="1" ht="15" customHeight="1" x14ac:dyDescent="0.25">
      <c r="A14" s="92"/>
      <c r="B14" s="3"/>
      <c r="C14" s="272" t="s">
        <v>28</v>
      </c>
      <c r="D14" s="272"/>
      <c r="E14" s="43"/>
      <c r="F14" s="97">
        <f>D22</f>
        <v>57240390.183357932</v>
      </c>
      <c r="H14" s="282" t="str">
        <f t="shared" si="0"/>
        <v>Разходи , дисконтирани</v>
      </c>
      <c r="I14" s="283"/>
      <c r="J14" s="283"/>
      <c r="K14" s="284"/>
      <c r="L14" s="98">
        <f>D34</f>
        <v>20383745.665040974</v>
      </c>
      <c r="M14" s="92"/>
      <c r="N14" s="273"/>
      <c r="O14" s="273"/>
      <c r="P14" s="273"/>
      <c r="Q14" s="242"/>
      <c r="R14" s="242"/>
      <c r="S14" s="242"/>
      <c r="T14" s="242"/>
      <c r="U14" s="242"/>
      <c r="V14" s="242"/>
      <c r="W14" s="243"/>
      <c r="X14" s="92"/>
      <c r="Y14" s="92"/>
      <c r="Z14" s="92"/>
      <c r="AA14" s="92"/>
      <c r="AB14" s="92"/>
      <c r="AC14" s="92"/>
      <c r="AD14" s="92"/>
    </row>
    <row r="15" spans="1:42" s="93" customFormat="1" ht="15" customHeight="1" x14ac:dyDescent="0.25">
      <c r="A15" s="92"/>
      <c r="B15" s="3"/>
      <c r="C15" s="270" t="s">
        <v>75</v>
      </c>
      <c r="D15" s="270"/>
      <c r="E15" s="43"/>
      <c r="F15" s="99">
        <f>F13-F14</f>
        <v>1327.1902938559651</v>
      </c>
      <c r="H15" s="279" t="str">
        <f t="shared" si="0"/>
        <v>Оперативна печалба</v>
      </c>
      <c r="I15" s="280"/>
      <c r="J15" s="280"/>
      <c r="K15" s="281"/>
      <c r="L15" s="98">
        <f>L13-L14</f>
        <v>3827.5567078888416</v>
      </c>
      <c r="M15" s="92"/>
      <c r="N15" s="271"/>
      <c r="O15" s="271"/>
      <c r="P15" s="271"/>
      <c r="Q15" s="244"/>
      <c r="R15" s="244"/>
      <c r="S15" s="244"/>
      <c r="T15" s="244"/>
      <c r="U15" s="244"/>
      <c r="V15" s="244"/>
      <c r="W15" s="245"/>
      <c r="X15" s="92"/>
      <c r="Y15" s="92"/>
      <c r="Z15" s="92"/>
      <c r="AA15" s="92"/>
      <c r="AB15" s="92"/>
      <c r="AC15" s="92"/>
      <c r="AD15" s="92"/>
    </row>
    <row r="16" spans="1:42" s="93" customFormat="1" ht="15" customHeight="1" thickBot="1" x14ac:dyDescent="0.3">
      <c r="A16" s="92"/>
      <c r="B16" s="3"/>
      <c r="C16" s="272" t="s">
        <v>76</v>
      </c>
      <c r="D16" s="272"/>
      <c r="E16" s="43"/>
      <c r="F16" s="100">
        <f>F12-F15</f>
        <v>4836965.70824329</v>
      </c>
      <c r="G16" s="231">
        <f>F16/F12</f>
        <v>0.99972569037846859</v>
      </c>
      <c r="H16" s="285" t="str">
        <f t="shared" si="0"/>
        <v xml:space="preserve">Допустими разходи по ОРГО </v>
      </c>
      <c r="I16" s="286"/>
      <c r="J16" s="286"/>
      <c r="K16" s="287"/>
      <c r="L16" s="101">
        <f>L12-L15</f>
        <v>4346901.2289349576</v>
      </c>
      <c r="M16" s="240">
        <f>L16/L12</f>
        <v>0.99912024929696386</v>
      </c>
      <c r="N16" s="243"/>
      <c r="O16" s="243"/>
      <c r="P16" s="243"/>
      <c r="Q16" s="244"/>
      <c r="R16" s="244"/>
      <c r="S16" s="244"/>
      <c r="T16" s="244"/>
      <c r="U16" s="244"/>
      <c r="V16" s="244"/>
      <c r="W16" s="245"/>
      <c r="X16" s="92"/>
      <c r="Y16" s="92"/>
      <c r="Z16" s="92"/>
      <c r="AA16" s="92"/>
      <c r="AB16" s="92"/>
      <c r="AC16" s="92"/>
      <c r="AD16" s="92"/>
    </row>
    <row r="17" spans="1:42" s="93" customFormat="1" ht="4.7" customHeight="1" x14ac:dyDescent="0.25">
      <c r="A17" s="92"/>
      <c r="B17" s="3"/>
      <c r="C17" s="3"/>
      <c r="D17" s="3"/>
      <c r="E17" s="3"/>
      <c r="F17" s="3"/>
      <c r="H17" s="3"/>
      <c r="I17" s="3"/>
      <c r="J17" s="3"/>
      <c r="K17" s="3"/>
      <c r="L17" s="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92"/>
      <c r="Y17" s="92"/>
      <c r="Z17" s="92"/>
      <c r="AA17" s="92"/>
      <c r="AB17" s="92"/>
      <c r="AC17" s="92"/>
      <c r="AD17" s="92"/>
    </row>
    <row r="18" spans="1:42" s="93" customFormat="1" ht="20.65" customHeight="1" x14ac:dyDescent="0.25"/>
    <row r="19" spans="1:42" ht="37.35" customHeight="1" x14ac:dyDescent="0.3">
      <c r="C19" s="102" t="s">
        <v>80</v>
      </c>
      <c r="D19" s="189" t="s">
        <v>79</v>
      </c>
      <c r="E19" s="103"/>
      <c r="F19" s="104">
        <v>2019</v>
      </c>
      <c r="G19" s="105">
        <f>F19+1</f>
        <v>2020</v>
      </c>
      <c r="H19" s="105">
        <f t="shared" ref="H19:AD19" si="1">G19+1</f>
        <v>2021</v>
      </c>
      <c r="I19" s="105">
        <f t="shared" si="1"/>
        <v>2022</v>
      </c>
      <c r="J19" s="105">
        <f t="shared" si="1"/>
        <v>2023</v>
      </c>
      <c r="K19" s="105">
        <f t="shared" si="1"/>
        <v>2024</v>
      </c>
      <c r="L19" s="105">
        <f t="shared" si="1"/>
        <v>2025</v>
      </c>
      <c r="M19" s="105">
        <f t="shared" si="1"/>
        <v>2026</v>
      </c>
      <c r="N19" s="105">
        <f t="shared" si="1"/>
        <v>2027</v>
      </c>
      <c r="O19" s="105">
        <f t="shared" si="1"/>
        <v>2028</v>
      </c>
      <c r="P19" s="105">
        <f t="shared" si="1"/>
        <v>2029</v>
      </c>
      <c r="Q19" s="105">
        <f t="shared" si="1"/>
        <v>2030</v>
      </c>
      <c r="R19" s="105">
        <f t="shared" si="1"/>
        <v>2031</v>
      </c>
      <c r="S19" s="105">
        <f t="shared" si="1"/>
        <v>2032</v>
      </c>
      <c r="T19" s="105">
        <f t="shared" si="1"/>
        <v>2033</v>
      </c>
      <c r="U19" s="105">
        <f t="shared" si="1"/>
        <v>2034</v>
      </c>
      <c r="V19" s="105">
        <f t="shared" si="1"/>
        <v>2035</v>
      </c>
      <c r="W19" s="105">
        <f t="shared" si="1"/>
        <v>2036</v>
      </c>
      <c r="X19" s="105">
        <f t="shared" si="1"/>
        <v>2037</v>
      </c>
      <c r="Y19" s="105">
        <f t="shared" si="1"/>
        <v>2038</v>
      </c>
      <c r="Z19" s="105">
        <f t="shared" si="1"/>
        <v>2039</v>
      </c>
      <c r="AA19" s="105">
        <f t="shared" si="1"/>
        <v>2040</v>
      </c>
      <c r="AB19" s="105">
        <f t="shared" si="1"/>
        <v>2041</v>
      </c>
      <c r="AC19" s="105">
        <f t="shared" si="1"/>
        <v>2042</v>
      </c>
      <c r="AD19" s="105">
        <f t="shared" si="1"/>
        <v>2043</v>
      </c>
    </row>
    <row r="20" spans="1:42" ht="3" customHeight="1" thickBot="1" x14ac:dyDescent="0.3">
      <c r="B20" s="3"/>
      <c r="C20" s="3"/>
      <c r="D20" s="3"/>
      <c r="E20" s="4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42" x14ac:dyDescent="0.25">
      <c r="A21" s="106">
        <v>0</v>
      </c>
      <c r="B21" s="3"/>
      <c r="C21" s="107" t="s">
        <v>29</v>
      </c>
      <c r="D21" s="108">
        <f>NPV('Инвестиции ОРГО'!M5,F21:AD21)</f>
        <v>4838292.8985371459</v>
      </c>
      <c r="E21" s="109"/>
      <c r="F21" s="188">
        <v>0</v>
      </c>
      <c r="G21" s="188">
        <f>'Инвестиции ОРГО'!H7+'Инвестиции ОРГО'!H8</f>
        <v>1499250</v>
      </c>
      <c r="H21" s="188">
        <f>'Инвестиции ОРГО'!I7+'Инвестиции ОРГО'!I8</f>
        <v>1203434.3999999999</v>
      </c>
      <c r="I21" s="188">
        <f>'Инвестиции ОРГО'!J7+'Инвестиции ОРГО'!J8</f>
        <v>1797665.6</v>
      </c>
      <c r="J21" s="188">
        <f>'Инвестиции ОРГО'!K7+'Инвестиции ОРГО'!K8</f>
        <v>497150</v>
      </c>
      <c r="K21" s="188">
        <v>0</v>
      </c>
      <c r="L21" s="110"/>
      <c r="M21" s="110"/>
      <c r="N21" s="110"/>
      <c r="O21" s="110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2"/>
    </row>
    <row r="22" spans="1:42" x14ac:dyDescent="0.25">
      <c r="A22" s="106">
        <v>0</v>
      </c>
      <c r="B22" s="3"/>
      <c r="C22" s="107" t="s">
        <v>30</v>
      </c>
      <c r="D22" s="108">
        <f>NPV('Инвестиции ОРГО'!M5,F22:AD22)</f>
        <v>57240390.183357932</v>
      </c>
      <c r="E22" s="109"/>
      <c r="F22" s="114">
        <f>'Прогноза -отпадъци'!E21*'Разходи-допускания'!E34</f>
        <v>1474292.9833333334</v>
      </c>
      <c r="G22" s="114">
        <f>'Прогноза -отпадъци'!F21*'Разходи-допускания'!F34</f>
        <v>1489003.6443906522</v>
      </c>
      <c r="H22" s="114">
        <f>'Прогноза -отпадъци'!G21*'Разходи-допускания'!G34</f>
        <v>1525767.5766946001</v>
      </c>
      <c r="I22" s="114">
        <f>'Прогноза -отпадъци'!H21*'Разходи-допускания'!H34</f>
        <v>1575253.6233363592</v>
      </c>
      <c r="J22" s="114">
        <f>'Прогноза -отпадъци'!I21*'Разходи-допускания'!I34</f>
        <v>1644641.0553704125</v>
      </c>
      <c r="K22" s="114">
        <f>'Прогноза -отпадъци'!J21*'Разходи-допускания'!J34</f>
        <v>1729819.7635264813</v>
      </c>
      <c r="L22" s="114">
        <f>'Прогноза -отпадъци'!K21*'Разходи-допускания'!K34</f>
        <v>1830125.5629681328</v>
      </c>
      <c r="M22" s="114">
        <f>'Прогноза -отпадъци'!L21*'Разходи-допускания'!L34</f>
        <v>1936247.7217865076</v>
      </c>
      <c r="N22" s="114">
        <f>'Прогноза -отпадъци'!M21*'Разходи-допускания'!M34</f>
        <v>2048523.5089788872</v>
      </c>
      <c r="O22" s="114">
        <f>'Прогноза -отпадъци'!N21*'Разходи-допускания'!N34</f>
        <v>2167309.7505143909</v>
      </c>
      <c r="P22" s="114">
        <f>'Прогноза -отпадъци'!O21*'Разходи-допускания'!O34</f>
        <v>2292983.9633698645</v>
      </c>
      <c r="Q22" s="114">
        <f>'Прогноза -отпадъци'!P21*'Разходи-допускания'!P34</f>
        <v>2425945.5553242853</v>
      </c>
      <c r="R22" s="114">
        <f>'Прогноза -отпадъци'!Q21*'Разходи-допускания'!Q34</f>
        <v>2542849.8253004388</v>
      </c>
      <c r="S22" s="114">
        <f>'Прогноза -отпадъци'!R21*'Разходи-допускания'!R34</f>
        <v>2665484.9194891131</v>
      </c>
      <c r="T22" s="114">
        <f>'Прогноза -отпадъци'!S21*'Разходи-допускания'!S34</f>
        <v>2794136.2975744461</v>
      </c>
      <c r="U22" s="114">
        <f>'Прогноза -отпадъци'!T21*'Разходи-допускания'!T34</f>
        <v>2929103.8452969575</v>
      </c>
      <c r="V22" s="114">
        <f>'Прогноза -отпадъци'!U21*'Разходи-допускания'!U34</f>
        <v>3070702.6128042238</v>
      </c>
      <c r="W22" s="114">
        <f>'Прогноза -отпадъци'!V21*'Разходи-допускания'!V34</f>
        <v>3219263.5912046568</v>
      </c>
      <c r="X22" s="114">
        <f>'Прогноза -отпадъци'!W21*'Разходи-допускания'!W34</f>
        <v>3375134.5293191294</v>
      </c>
      <c r="Y22" s="114">
        <f>'Прогноза -отпадъци'!X21*'Разходи-допускания'!X34</f>
        <v>3538680.7927301568</v>
      </c>
      <c r="Z22" s="114">
        <f>'Прогноза -отпадъци'!Y21*'Разходи-допускания'!Y34</f>
        <v>3710286.2673388142</v>
      </c>
      <c r="AA22" s="114">
        <f>'Прогноза -отпадъци'!Z21*'Разходи-допускания'!Z34</f>
        <v>3890354.3097559442</v>
      </c>
      <c r="AB22" s="114">
        <f>'Прогноза -отпадъци'!AA21*'Разходи-допускания'!AA34</f>
        <v>4061329.4234101633</v>
      </c>
      <c r="AC22" s="114">
        <f>'Прогноза -отпадъци'!AB21*'Разходи-допускания'!AB34</f>
        <v>4239971.5051082755</v>
      </c>
      <c r="AD22" s="114">
        <f>'Прогноза -отпадъци'!AC21*'Разходи-допускания'!AC34</f>
        <v>4426630.6991504841</v>
      </c>
    </row>
    <row r="23" spans="1:42" x14ac:dyDescent="0.25">
      <c r="A23" s="106">
        <v>0</v>
      </c>
      <c r="B23" s="3"/>
      <c r="C23" s="107" t="s">
        <v>31</v>
      </c>
      <c r="D23" s="108">
        <f>NPV('Инвестиции ОРГО'!M5,F23:AD23)</f>
        <v>57241717.373651788</v>
      </c>
      <c r="E23" s="109"/>
      <c r="F23" s="113">
        <f>'Прогноза -отпадъци'!E21*'Приходи-допускания'!E34</f>
        <v>1474327.166666667</v>
      </c>
      <c r="G23" s="113">
        <f>'Прогноза -отпадъци'!F21*'Приходи-допускания'!F34</f>
        <v>1489038.1688091266</v>
      </c>
      <c r="H23" s="113">
        <f>'Прогноза -отпадъци'!G21*'Приходи-допускания'!G34</f>
        <v>1525802.953530991</v>
      </c>
      <c r="I23" s="113">
        <f>'Прогноза -отпадъци'!H21*'Приходи-допускания'!H34</f>
        <v>1575290.1475688557</v>
      </c>
      <c r="J23" s="113">
        <f>'Прогноза -отпадъци'!I21*'Приходи-допускания'!I34</f>
        <v>1644679.1884376153</v>
      </c>
      <c r="K23" s="113">
        <f>'Прогноза -отпадъци'!J21*'Приходи-допускания'!J34</f>
        <v>1729859.871568948</v>
      </c>
      <c r="L23" s="113">
        <f>'Прогноза -отпадъци'!K21*'Приходи-допускания'!K34</f>
        <v>1830167.9967264622</v>
      </c>
      <c r="M23" s="113">
        <f>'Прогноза -отпадъци'!L21*'Приходи-допускания'!L34</f>
        <v>1936292.6161202923</v>
      </c>
      <c r="N23" s="113">
        <f>'Прогноза -отпадъци'!M21*'Приходи-допускания'!M34</f>
        <v>2048571.0065677254</v>
      </c>
      <c r="O23" s="113">
        <f>'Прогноза -отпадъци'!N21*'Приходи-допускания'!N34</f>
        <v>2167360.0023113377</v>
      </c>
      <c r="P23" s="113">
        <f>'Прогноза -отпадъци'!O21*'Приходи-допускания'!O34</f>
        <v>2293037.1290811808</v>
      </c>
      <c r="Q23" s="113">
        <f>'Прогноза -отпадъци'!P21*'Приходи-допускания'!P34</f>
        <v>2426001.8039170029</v>
      </c>
      <c r="R23" s="113">
        <f>'Прогноза -отпадъци'!Q21*'Приходи-допускания'!Q34</f>
        <v>2542908.7844653926</v>
      </c>
      <c r="S23" s="113">
        <f>'Прогноза -отпадъци'!R21*'Приходи-допускания'!R34</f>
        <v>2665546.7221026556</v>
      </c>
      <c r="T23" s="113">
        <f>'Прогноза -отпадъци'!S21*'Приходи-допускания'!S34</f>
        <v>2794201.0831316714</v>
      </c>
      <c r="U23" s="113">
        <f>'Прогноза -отпадъци'!T21*'Приходи-допускания'!T34</f>
        <v>2929171.7602461865</v>
      </c>
      <c r="V23" s="113">
        <f>'Прогноза -отпадъци'!U21*'Приходи-допускания'!U34</f>
        <v>3070773.8108986109</v>
      </c>
      <c r="W23" s="113">
        <f>'Прогноза -отпадъци'!V21*'Приходи-допускания'!V34</f>
        <v>3219338.2338717999</v>
      </c>
      <c r="X23" s="113">
        <f>'Прогноза -отпадъци'!W21*'Приходи-допускания'!W34</f>
        <v>3375212.7860496198</v>
      </c>
      <c r="Y23" s="113">
        <f>'Прогноза -отпадъци'!X21*'Приходи-допускания'!X34</f>
        <v>3538762.8414860456</v>
      </c>
      <c r="Z23" s="113">
        <f>'Прогноза -отпадъци'!Y21*'Приходи-допускания'!Y34</f>
        <v>3710372.2949830289</v>
      </c>
      <c r="AA23" s="113">
        <f>'Прогноза -отпадъци'!Z21*'Приходи-допускания'!Z34</f>
        <v>3890444.5125037413</v>
      </c>
      <c r="AB23" s="113">
        <f>'Прогноза -отпадъци'!AA21*'Приходи-допускания'!AA34</f>
        <v>4061423.5904305759</v>
      </c>
      <c r="AC23" s="113">
        <f>'Прогноза -отпадъци'!AB21*'Приходи-допускания'!AB34</f>
        <v>4240069.814169582</v>
      </c>
      <c r="AD23" s="113">
        <f>'Прогноза -отпадъци'!AC21*'Приходи-допускания'!AC34</f>
        <v>4426733.3361394973</v>
      </c>
    </row>
    <row r="24" spans="1:42" ht="15.75" thickBot="1" x14ac:dyDescent="0.3">
      <c r="B24" s="3"/>
      <c r="C24" s="107" t="s">
        <v>32</v>
      </c>
      <c r="D24" s="108">
        <f>NPV('Инвестиции ОРГО'!M5,F24:AD24)</f>
        <v>389689.2793861432</v>
      </c>
      <c r="E24" s="109"/>
      <c r="F24" s="115">
        <v>0</v>
      </c>
      <c r="G24" s="116">
        <v>0</v>
      </c>
      <c r="H24" s="116">
        <v>0</v>
      </c>
      <c r="I24" s="116">
        <v>0</v>
      </c>
      <c r="J24" s="116">
        <v>0</v>
      </c>
      <c r="K24" s="116">
        <v>0</v>
      </c>
      <c r="L24" s="116">
        <v>0</v>
      </c>
      <c r="M24" s="116">
        <v>0</v>
      </c>
      <c r="N24" s="116">
        <v>0</v>
      </c>
      <c r="O24" s="116">
        <v>0</v>
      </c>
      <c r="P24" s="116">
        <v>0</v>
      </c>
      <c r="Q24" s="116">
        <v>0</v>
      </c>
      <c r="R24" s="116">
        <v>0</v>
      </c>
      <c r="S24" s="116">
        <v>0</v>
      </c>
      <c r="T24" s="116">
        <v>0</v>
      </c>
      <c r="U24" s="116">
        <v>0</v>
      </c>
      <c r="V24" s="116">
        <v>0</v>
      </c>
      <c r="W24" s="116">
        <v>0</v>
      </c>
      <c r="X24" s="116">
        <v>0</v>
      </c>
      <c r="Y24" s="116">
        <v>0</v>
      </c>
      <c r="Z24" s="116">
        <v>0</v>
      </c>
      <c r="AA24" s="116">
        <v>0</v>
      </c>
      <c r="AB24" s="116">
        <v>0</v>
      </c>
      <c r="AC24" s="116">
        <v>0</v>
      </c>
      <c r="AD24" s="117">
        <f>'Инвестиции ОРГО'!AA11</f>
        <v>499750</v>
      </c>
    </row>
    <row r="25" spans="1:42" ht="4.7" customHeight="1" thickBot="1" x14ac:dyDescent="0.3">
      <c r="B25" s="3"/>
      <c r="C25" s="3"/>
      <c r="D25" s="119"/>
      <c r="E25" s="120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42" ht="16.5" thickBot="1" x14ac:dyDescent="0.3">
      <c r="C26" s="121" t="s">
        <v>81</v>
      </c>
      <c r="D26" s="122">
        <f>NPV('Инвестиции ОРГО'!M5,F26:AD26)</f>
        <v>-4447276.4288571524</v>
      </c>
      <c r="E26" s="120"/>
      <c r="F26" s="123">
        <f>F23-F21-F22+F24</f>
        <v>34.183333333581686</v>
      </c>
      <c r="G26" s="123">
        <f t="shared" ref="G26:AD26" si="2">G23-G21-G22+G24</f>
        <v>-1499215.4755815256</v>
      </c>
      <c r="H26" s="123">
        <f t="shared" si="2"/>
        <v>-1203399.023163609</v>
      </c>
      <c r="I26" s="123">
        <f t="shared" si="2"/>
        <v>-1797629.0757675036</v>
      </c>
      <c r="J26" s="123">
        <f t="shared" si="2"/>
        <v>-497111.86693279725</v>
      </c>
      <c r="K26" s="123">
        <f t="shared" si="2"/>
        <v>40.108042466687039</v>
      </c>
      <c r="L26" s="123">
        <f t="shared" si="2"/>
        <v>42.433758329367265</v>
      </c>
      <c r="M26" s="123">
        <f t="shared" si="2"/>
        <v>44.894333784701303</v>
      </c>
      <c r="N26" s="123">
        <f t="shared" si="2"/>
        <v>47.49758883821778</v>
      </c>
      <c r="O26" s="123">
        <f t="shared" si="2"/>
        <v>50.25179694686085</v>
      </c>
      <c r="P26" s="123">
        <f t="shared" si="2"/>
        <v>53.165711316280067</v>
      </c>
      <c r="Q26" s="123">
        <f t="shared" si="2"/>
        <v>56.248592717573047</v>
      </c>
      <c r="R26" s="123">
        <f t="shared" si="2"/>
        <v>58.959164953790605</v>
      </c>
      <c r="S26" s="123">
        <f t="shared" si="2"/>
        <v>61.802613542415202</v>
      </c>
      <c r="T26" s="123">
        <f t="shared" si="2"/>
        <v>64.785557225346565</v>
      </c>
      <c r="U26" s="123">
        <f t="shared" si="2"/>
        <v>67.914949228987098</v>
      </c>
      <c r="V26" s="123">
        <f t="shared" si="2"/>
        <v>71.19809438707307</v>
      </c>
      <c r="W26" s="123">
        <f t="shared" si="2"/>
        <v>74.642667143139988</v>
      </c>
      <c r="X26" s="123">
        <f t="shared" si="2"/>
        <v>78.256730490364134</v>
      </c>
      <c r="Y26" s="123">
        <f t="shared" si="2"/>
        <v>82.048755888827145</v>
      </c>
      <c r="Z26" s="123">
        <f t="shared" si="2"/>
        <v>86.027644214686006</v>
      </c>
      <c r="AA26" s="123">
        <f t="shared" si="2"/>
        <v>90.202747797127813</v>
      </c>
      <c r="AB26" s="123">
        <f t="shared" si="2"/>
        <v>94.167020412627608</v>
      </c>
      <c r="AC26" s="123">
        <f t="shared" si="2"/>
        <v>98.309061306528747</v>
      </c>
      <c r="AD26" s="123">
        <f t="shared" si="2"/>
        <v>499852.63698901329</v>
      </c>
    </row>
    <row r="27" spans="1:42" ht="16.5" thickBot="1" x14ac:dyDescent="0.3">
      <c r="C27" s="121" t="s">
        <v>82</v>
      </c>
      <c r="D27" s="124">
        <f>MIRR(F26:AD26,'Инвестиции ОРГО'!M5,4%)</f>
        <v>-9.0480961737158139E-2</v>
      </c>
      <c r="E27" s="103"/>
      <c r="F27" s="125"/>
      <c r="G27" s="92"/>
      <c r="H27" s="92"/>
      <c r="I27" s="92"/>
      <c r="J27" s="92"/>
      <c r="K27" s="92"/>
      <c r="L27" s="92"/>
      <c r="M27" s="92"/>
      <c r="N27" s="92"/>
      <c r="O27" s="92"/>
    </row>
    <row r="28" spans="1:42" s="92" customFormat="1" hidden="1" x14ac:dyDescent="0.25">
      <c r="D28" s="126">
        <f>D26*1000</f>
        <v>-4447276428.857152</v>
      </c>
      <c r="F28" s="118">
        <f>D24*1000</f>
        <v>389689279.38614321</v>
      </c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</row>
    <row r="29" spans="1:42" s="92" customFormat="1" x14ac:dyDescent="0.25">
      <c r="D29" s="126"/>
      <c r="F29" s="118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</row>
    <row r="30" spans="1:42" s="92" customFormat="1" x14ac:dyDescent="0.25">
      <c r="D30" s="126"/>
      <c r="F30" s="118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</row>
    <row r="31" spans="1:42" ht="37.35" customHeight="1" x14ac:dyDescent="0.3">
      <c r="C31" s="102" t="s">
        <v>83</v>
      </c>
      <c r="D31" s="189" t="s">
        <v>79</v>
      </c>
      <c r="E31" s="103"/>
      <c r="F31" s="104">
        <v>2019</v>
      </c>
      <c r="G31" s="105">
        <f>F31+1</f>
        <v>2020</v>
      </c>
      <c r="H31" s="105">
        <f t="shared" ref="H31" si="3">G31+1</f>
        <v>2021</v>
      </c>
      <c r="I31" s="105">
        <f t="shared" ref="I31" si="4">H31+1</f>
        <v>2022</v>
      </c>
      <c r="J31" s="105">
        <f t="shared" ref="J31" si="5">I31+1</f>
        <v>2023</v>
      </c>
      <c r="K31" s="105">
        <f t="shared" ref="K31" si="6">J31+1</f>
        <v>2024</v>
      </c>
      <c r="L31" s="105">
        <f t="shared" ref="L31" si="7">K31+1</f>
        <v>2025</v>
      </c>
      <c r="M31" s="105">
        <f t="shared" ref="M31" si="8">L31+1</f>
        <v>2026</v>
      </c>
      <c r="N31" s="105">
        <f t="shared" ref="N31" si="9">M31+1</f>
        <v>2027</v>
      </c>
      <c r="O31" s="105">
        <f t="shared" ref="O31" si="10">N31+1</f>
        <v>2028</v>
      </c>
      <c r="P31" s="105">
        <f t="shared" ref="P31" si="11">O31+1</f>
        <v>2029</v>
      </c>
      <c r="Q31" s="105">
        <f t="shared" ref="Q31" si="12">P31+1</f>
        <v>2030</v>
      </c>
      <c r="R31" s="105">
        <f t="shared" ref="R31" si="13">Q31+1</f>
        <v>2031</v>
      </c>
      <c r="S31" s="105">
        <f t="shared" ref="S31" si="14">R31+1</f>
        <v>2032</v>
      </c>
      <c r="T31" s="105">
        <f t="shared" ref="T31" si="15">S31+1</f>
        <v>2033</v>
      </c>
      <c r="U31" s="105">
        <f t="shared" ref="U31" si="16">T31+1</f>
        <v>2034</v>
      </c>
      <c r="V31" s="105">
        <f t="shared" ref="V31" si="17">U31+1</f>
        <v>2035</v>
      </c>
      <c r="W31" s="105">
        <f t="shared" ref="W31" si="18">V31+1</f>
        <v>2036</v>
      </c>
      <c r="X31" s="105">
        <f t="shared" ref="X31" si="19">W31+1</f>
        <v>2037</v>
      </c>
      <c r="Y31" s="105">
        <f t="shared" ref="Y31" si="20">X31+1</f>
        <v>2038</v>
      </c>
      <c r="Z31" s="105">
        <f t="shared" ref="Z31" si="21">Y31+1</f>
        <v>2039</v>
      </c>
      <c r="AA31" s="105">
        <f t="shared" ref="AA31" si="22">Z31+1</f>
        <v>2040</v>
      </c>
      <c r="AB31" s="105">
        <f t="shared" ref="AB31" si="23">AA31+1</f>
        <v>2041</v>
      </c>
      <c r="AC31" s="105">
        <f t="shared" ref="AC31" si="24">AB31+1</f>
        <v>2042</v>
      </c>
      <c r="AD31" s="105">
        <f t="shared" ref="AD31" si="25">AC31+1</f>
        <v>2043</v>
      </c>
    </row>
    <row r="32" spans="1:42" ht="3" customHeight="1" thickBot="1" x14ac:dyDescent="0.3">
      <c r="B32" s="3"/>
      <c r="C32" s="3"/>
      <c r="D32" s="3"/>
      <c r="E32" s="4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42" x14ac:dyDescent="0.25">
      <c r="A33" s="106">
        <v>0</v>
      </c>
      <c r="B33" s="3"/>
      <c r="C33" s="107" t="s">
        <v>29</v>
      </c>
      <c r="D33" s="108">
        <f>NPV('Инвестиции ОРГО'!M5,F33:AD33)</f>
        <v>4350728.7856428456</v>
      </c>
      <c r="E33" s="109"/>
      <c r="F33" s="188">
        <v>0</v>
      </c>
      <c r="G33" s="188">
        <f>'Инвестиции ОРГО'!H15+'Инвестиции ОРГО'!H16</f>
        <v>1348650</v>
      </c>
      <c r="H33" s="188">
        <f>'Инвестиции ОРГО'!I15+'Инвестиции ОРГО'!I16</f>
        <v>919033.2</v>
      </c>
      <c r="I33" s="188">
        <f>'Инвестиции ОРГО'!J15+'Инвестиции ОРГО'!J16</f>
        <v>1782166.7999999998</v>
      </c>
      <c r="J33" s="188">
        <f>'Инвестиции ОРГО'!K15+'Инвестиции ОРГО'!K16</f>
        <v>445650</v>
      </c>
      <c r="K33" s="188">
        <v>0</v>
      </c>
      <c r="L33" s="110"/>
      <c r="M33" s="110"/>
      <c r="N33" s="110"/>
      <c r="O33" s="110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2"/>
    </row>
    <row r="34" spans="1:42" x14ac:dyDescent="0.25">
      <c r="A34" s="106">
        <v>0</v>
      </c>
      <c r="B34" s="3"/>
      <c r="C34" s="107" t="s">
        <v>30</v>
      </c>
      <c r="D34" s="108">
        <f>NPV('Инвестиции ОРГО'!M5,F34:AD34)</f>
        <v>20383745.665040974</v>
      </c>
      <c r="E34" s="109"/>
      <c r="F34" s="114">
        <v>0</v>
      </c>
      <c r="G34" s="114">
        <v>0</v>
      </c>
      <c r="H34" s="114">
        <v>0</v>
      </c>
      <c r="I34" s="114">
        <v>0</v>
      </c>
      <c r="J34" s="114">
        <v>0</v>
      </c>
      <c r="K34" s="114">
        <f>'Прогноза -отпадъци'!J44*'Разходи-допускания'!J33</f>
        <v>920242.0128684201</v>
      </c>
      <c r="L34" s="114">
        <f>'Прогноза -отпадъци'!K44*'Разходи-допускания'!K33</f>
        <v>946813.40728904377</v>
      </c>
      <c r="M34" s="114">
        <f>'Прогноза -отпадъци'!L44*'Разходи-допускания'!L33</f>
        <v>974152.0335808309</v>
      </c>
      <c r="N34" s="114">
        <f>'Прогноза -отпадъци'!M44*'Разходи-допускания'!M33</f>
        <v>1002280.0450690761</v>
      </c>
      <c r="O34" s="114">
        <f>'Прогноза -отпадъци'!N44*'Разходи-допускания'!N33</f>
        <v>1031220.2347420496</v>
      </c>
      <c r="P34" s="114">
        <f>'Прогноза -отпадъци'!O44*'Разходи-допускания'!O33</f>
        <v>1060996.0537208521</v>
      </c>
      <c r="Q34" s="114">
        <f>'Прогноза -отпадъци'!P44*'Разходи-допускания'!P33</f>
        <v>1091631.6302625779</v>
      </c>
      <c r="R34" s="114">
        <f>'Прогноза -отпадъци'!Q44*'Разходи-допускания'!Q33</f>
        <v>1119041.6949380159</v>
      </c>
      <c r="S34" s="114">
        <f>'Прогноза -отпадъци'!R44*'Разходи-допускания'!R33</f>
        <v>1147140.0061104258</v>
      </c>
      <c r="T34" s="114">
        <f>'Прогноза -отпадъци'!S44*'Разходи-допускания'!S33</f>
        <v>1175943.8451414607</v>
      </c>
      <c r="U34" s="114">
        <f>'Прогноза -отпадъци'!T44*'Разходи-допускания'!T33</f>
        <v>1205470.9273150121</v>
      </c>
      <c r="V34" s="114">
        <f>'Прогноза -отпадъци'!U44*'Разходи-допускания'!U33</f>
        <v>1235739.4127326773</v>
      </c>
      <c r="W34" s="114">
        <f>'Прогноза -отпадъци'!V44*'Разходи-допускания'!V33</f>
        <v>1266767.9174828038</v>
      </c>
      <c r="X34" s="114">
        <f>'Прогноза -отпадъци'!W44*'Разходи-допускания'!W33</f>
        <v>1298575.5250899796</v>
      </c>
      <c r="Y34" s="114">
        <f>'Прогноза -отпадъци'!X44*'Разходи-допускания'!X33</f>
        <v>1331181.7982520128</v>
      </c>
      <c r="Z34" s="114">
        <f>'Прогноза -отпадъци'!Y44*'Разходи-допускания'!Y33</f>
        <v>1364606.7908716176</v>
      </c>
      <c r="AA34" s="114">
        <f>'Прогноза -отпадъци'!Z44*'Разходи-допускания'!Z33</f>
        <v>1398871.0603902063</v>
      </c>
      <c r="AB34" s="114">
        <f>'Прогноза -отпадъци'!AA44*'Разходи-допускания'!AA33</f>
        <v>1427675.4252286903</v>
      </c>
      <c r="AC34" s="114">
        <f>'Прогноза -отпадъци'!AB44*'Разходи-допускания'!AB33</f>
        <v>1457072.9050848777</v>
      </c>
      <c r="AD34" s="114">
        <f>'Прогноза -отпадъци'!AC44*'Разходи-допускания'!AC33</f>
        <v>1487075.712879491</v>
      </c>
    </row>
    <row r="35" spans="1:42" x14ac:dyDescent="0.25">
      <c r="A35" s="106">
        <v>0</v>
      </c>
      <c r="B35" s="3"/>
      <c r="C35" s="107" t="s">
        <v>31</v>
      </c>
      <c r="D35" s="108">
        <f>NPV('Инвестиции ОРГО'!M5,F35:AD35)</f>
        <v>20387573.221748862</v>
      </c>
      <c r="E35" s="109"/>
      <c r="F35" s="113">
        <f>F34</f>
        <v>0</v>
      </c>
      <c r="G35" s="113">
        <f t="shared" ref="G35:J35" si="26">G34</f>
        <v>0</v>
      </c>
      <c r="H35" s="113">
        <f t="shared" si="26"/>
        <v>0</v>
      </c>
      <c r="I35" s="113">
        <f t="shared" si="26"/>
        <v>0</v>
      </c>
      <c r="J35" s="113">
        <f t="shared" si="26"/>
        <v>0</v>
      </c>
      <c r="K35" s="114">
        <f>'Прогноза -отпадъци'!J44*'Приходи-допускания'!J33</f>
        <v>920414.81126117427</v>
      </c>
      <c r="L35" s="114">
        <f>'Прогноза -отпадъци'!K44*'Приходи-допускания'!K33</f>
        <v>946991.19512390671</v>
      </c>
      <c r="M35" s="114">
        <f>'Прогноза -отпадъци'!L44*'Приходи-допускания'!L33</f>
        <v>974334.9549247243</v>
      </c>
      <c r="N35" s="114">
        <f>'Прогноза -отпадъци'!M44*'Приходи-допускания'!M33</f>
        <v>1002468.2481487615</v>
      </c>
      <c r="O35" s="114">
        <f>'Прогноза -отпадъци'!N44*'Приходи-допускания'!N33</f>
        <v>1031413.8720642402</v>
      </c>
      <c r="P35" s="114">
        <f>'Прогноза -отпадъци'!O44*'Приходи-допускания'!O33</f>
        <v>1061195.2821957944</v>
      </c>
      <c r="Q35" s="114">
        <f>'Прогноза -отпадъци'!P44*'Приходи-допускания'!P33</f>
        <v>1091836.6113312002</v>
      </c>
      <c r="R35" s="114">
        <f>'Прогноза -отпадъци'!Q44*'Приходи-допускания'!Q33</f>
        <v>1119251.8229300075</v>
      </c>
      <c r="S35" s="114">
        <f>'Прогноза -отпадъци'!R44*'Приходи-допускания'!R33</f>
        <v>1147355.4102612343</v>
      </c>
      <c r="T35" s="114">
        <f>'Прогноза -отпадъци'!S44*'Приходи-допускания'!S33</f>
        <v>1176164.6579315399</v>
      </c>
      <c r="U35" s="114">
        <f>'Прогноза -отпадъци'!T44*'Приходи-допускания'!T33</f>
        <v>1205697.2845513034</v>
      </c>
      <c r="V35" s="114">
        <f>'Прогноза -отпадъци'!U44*'Приходи-допускания'!U33</f>
        <v>1235971.4536321333</v>
      </c>
      <c r="W35" s="114">
        <f>'Прогноза -отпадъци'!V44*'Приходи-допускания'!V33</f>
        <v>1267005.7847580127</v>
      </c>
      <c r="X35" s="114">
        <f>'Прогноза -отпадъци'!W44*'Приходи-допускания'!W33</f>
        <v>1298819.3650369369</v>
      </c>
      <c r="Y35" s="114">
        <f>'Прогноза -отпадъци'!X44*'Приходи-допускания'!X33</f>
        <v>1331431.7608400986</v>
      </c>
      <c r="Z35" s="114">
        <f>'Прогноза -отпадъци'!Y44*'Приходи-допускания'!Y33</f>
        <v>1364863.0298358325</v>
      </c>
      <c r="AA35" s="114">
        <f>'Прогноза -отпадъци'!Z44*'Приходи-допускания'!Z33</f>
        <v>1399133.7333257233</v>
      </c>
      <c r="AB35" s="114">
        <f>'Прогноза -отпадъци'!AA44*'Приходи-допускания'!AA33</f>
        <v>1427943.5069022116</v>
      </c>
      <c r="AC35" s="114">
        <f>'Прогноза -отпадъци'!AB44*'Приходи-допускания'!AB33</f>
        <v>1457346.5068685433</v>
      </c>
      <c r="AD35" s="114">
        <f>'Прогноза -отпадъци'!AC44*'Приходи-допускания'!AC33</f>
        <v>1487354.9484387203</v>
      </c>
    </row>
    <row r="36" spans="1:42" ht="15.75" thickBot="1" x14ac:dyDescent="0.3">
      <c r="B36" s="3"/>
      <c r="C36" s="107" t="s">
        <v>32</v>
      </c>
      <c r="D36" s="108">
        <f>NPV('Инвестиции ОРГО'!M5,F36:AD36)</f>
        <v>350544.90354785527</v>
      </c>
      <c r="E36" s="109"/>
      <c r="F36" s="115">
        <v>0</v>
      </c>
      <c r="G36" s="116">
        <v>0</v>
      </c>
      <c r="H36" s="116">
        <v>0</v>
      </c>
      <c r="I36" s="116">
        <v>0</v>
      </c>
      <c r="J36" s="116">
        <v>0</v>
      </c>
      <c r="K36" s="116">
        <v>0</v>
      </c>
      <c r="L36" s="116">
        <v>0</v>
      </c>
      <c r="M36" s="116">
        <v>0</v>
      </c>
      <c r="N36" s="116">
        <v>0</v>
      </c>
      <c r="O36" s="116">
        <v>0</v>
      </c>
      <c r="P36" s="116">
        <v>0</v>
      </c>
      <c r="Q36" s="116">
        <v>0</v>
      </c>
      <c r="R36" s="116">
        <v>0</v>
      </c>
      <c r="S36" s="116">
        <v>0</v>
      </c>
      <c r="T36" s="116">
        <v>0</v>
      </c>
      <c r="U36" s="116">
        <v>0</v>
      </c>
      <c r="V36" s="116">
        <v>0</v>
      </c>
      <c r="W36" s="116">
        <v>0</v>
      </c>
      <c r="X36" s="116">
        <v>0</v>
      </c>
      <c r="Y36" s="116">
        <v>0</v>
      </c>
      <c r="Z36" s="116">
        <v>0</v>
      </c>
      <c r="AA36" s="116">
        <v>0</v>
      </c>
      <c r="AB36" s="116">
        <v>0</v>
      </c>
      <c r="AC36" s="116">
        <v>0</v>
      </c>
      <c r="AD36" s="117">
        <f>'Инвестиции ОРГО'!AA19</f>
        <v>449550</v>
      </c>
    </row>
    <row r="37" spans="1:42" ht="4.7" customHeight="1" thickBot="1" x14ac:dyDescent="0.3">
      <c r="B37" s="3"/>
      <c r="C37" s="3"/>
      <c r="D37" s="119"/>
      <c r="E37" s="120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42" ht="16.5" thickBot="1" x14ac:dyDescent="0.3">
      <c r="C38" s="121" t="s">
        <v>81</v>
      </c>
      <c r="D38" s="122">
        <f>NPV('Инвестиции ОРГО'!M5,F38:AD38)</f>
        <v>-3996356.3253871053</v>
      </c>
      <c r="E38" s="120"/>
      <c r="F38" s="123">
        <f>F35-F33-F34+F36</f>
        <v>0</v>
      </c>
      <c r="G38" s="123">
        <f t="shared" ref="G38:AD38" si="27">G35-G33-G34+G36</f>
        <v>-1348650</v>
      </c>
      <c r="H38" s="123">
        <f t="shared" si="27"/>
        <v>-919033.2</v>
      </c>
      <c r="I38" s="123">
        <f t="shared" si="27"/>
        <v>-1782166.7999999998</v>
      </c>
      <c r="J38" s="123">
        <f t="shared" si="27"/>
        <v>-445650</v>
      </c>
      <c r="K38" s="123">
        <f t="shared" si="27"/>
        <v>172.79839275416452</v>
      </c>
      <c r="L38" s="123">
        <f t="shared" si="27"/>
        <v>177.7878348629456</v>
      </c>
      <c r="M38" s="123">
        <f t="shared" si="27"/>
        <v>182.92134389339481</v>
      </c>
      <c r="N38" s="123">
        <f t="shared" si="27"/>
        <v>188.20307968533598</v>
      </c>
      <c r="O38" s="123">
        <f t="shared" si="27"/>
        <v>193.63732219056692</v>
      </c>
      <c r="P38" s="123">
        <f t="shared" si="27"/>
        <v>199.2284749422688</v>
      </c>
      <c r="Q38" s="123">
        <f t="shared" si="27"/>
        <v>204.98106862232089</v>
      </c>
      <c r="R38" s="123">
        <f t="shared" si="27"/>
        <v>210.12799199158326</v>
      </c>
      <c r="S38" s="123">
        <f t="shared" si="27"/>
        <v>215.40415080846287</v>
      </c>
      <c r="T38" s="123">
        <f t="shared" si="27"/>
        <v>220.81279007927515</v>
      </c>
      <c r="U38" s="123">
        <f t="shared" si="27"/>
        <v>226.35723629128188</v>
      </c>
      <c r="V38" s="123">
        <f t="shared" si="27"/>
        <v>232.04089945601299</v>
      </c>
      <c r="W38" s="123">
        <f t="shared" si="27"/>
        <v>237.86727520893328</v>
      </c>
      <c r="X38" s="123">
        <f t="shared" si="27"/>
        <v>243.83994695730507</v>
      </c>
      <c r="Y38" s="123">
        <f t="shared" si="27"/>
        <v>249.96258808579296</v>
      </c>
      <c r="Z38" s="123">
        <f t="shared" si="27"/>
        <v>256.238964214921</v>
      </c>
      <c r="AA38" s="123">
        <f t="shared" si="27"/>
        <v>262.67293551703915</v>
      </c>
      <c r="AB38" s="123">
        <f t="shared" si="27"/>
        <v>268.08167352131568</v>
      </c>
      <c r="AC38" s="123">
        <f t="shared" si="27"/>
        <v>273.60178366559558</v>
      </c>
      <c r="AD38" s="123">
        <f t="shared" si="27"/>
        <v>449829.23555922927</v>
      </c>
    </row>
    <row r="39" spans="1:42" ht="16.5" thickBot="1" x14ac:dyDescent="0.3">
      <c r="C39" s="121" t="s">
        <v>82</v>
      </c>
      <c r="D39" s="124">
        <f>IRR(F38:AD38,'Инвестиции ОРГО'!M5)</f>
        <v>-0.100689455018381</v>
      </c>
      <c r="E39" s="103"/>
      <c r="F39" s="93"/>
      <c r="G39" s="93"/>
      <c r="H39" s="92"/>
      <c r="I39" s="92"/>
      <c r="J39" s="92"/>
      <c r="K39" s="92"/>
      <c r="L39" s="92"/>
      <c r="M39" s="92"/>
      <c r="N39" s="92"/>
      <c r="O39" s="92"/>
    </row>
    <row r="40" spans="1:42" s="92" customFormat="1" x14ac:dyDescent="0.25"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</row>
    <row r="41" spans="1:42" s="92" customFormat="1" x14ac:dyDescent="0.25">
      <c r="F41" s="125" t="s">
        <v>126</v>
      </c>
      <c r="G41" s="118">
        <f>-AVERAGE(K38:AD38)</f>
        <v>-22702.290065598889</v>
      </c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</row>
    <row r="42" spans="1:42" s="92" customFormat="1" x14ac:dyDescent="0.25"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</row>
    <row r="43" spans="1:42" s="92" customFormat="1" ht="15.75" thickBot="1" x14ac:dyDescent="0.3"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</row>
    <row r="44" spans="1:42" s="92" customFormat="1" ht="15.75" thickBot="1" x14ac:dyDescent="0.3">
      <c r="C44" s="301" t="s">
        <v>132</v>
      </c>
      <c r="D44" s="302"/>
      <c r="F44" s="234" t="s">
        <v>26</v>
      </c>
      <c r="H44" s="296" t="s">
        <v>135</v>
      </c>
      <c r="I44" s="297"/>
      <c r="J44" s="297"/>
      <c r="K44" s="297"/>
      <c r="L44" s="234" t="s">
        <v>26</v>
      </c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</row>
    <row r="45" spans="1:42" s="92" customFormat="1" ht="15" customHeight="1" thickBot="1" x14ac:dyDescent="0.3">
      <c r="C45" s="294" t="s">
        <v>134</v>
      </c>
      <c r="D45" s="295"/>
      <c r="F45" s="235">
        <f>F11</f>
        <v>4997500</v>
      </c>
      <c r="H45" s="298" t="s">
        <v>134</v>
      </c>
      <c r="I45" s="299"/>
      <c r="J45" s="299"/>
      <c r="K45" s="300"/>
      <c r="L45" s="235">
        <f>L11</f>
        <v>4495500</v>
      </c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</row>
    <row r="46" spans="1:42" s="92" customFormat="1" ht="15" customHeight="1" thickBot="1" x14ac:dyDescent="0.3">
      <c r="C46" s="294" t="s">
        <v>133</v>
      </c>
      <c r="D46" s="295"/>
      <c r="F46" s="236">
        <f>G11</f>
        <v>0.9678770801887524</v>
      </c>
      <c r="H46" s="298" t="s">
        <v>133</v>
      </c>
      <c r="I46" s="299"/>
      <c r="J46" s="299"/>
      <c r="K46" s="300"/>
      <c r="L46" s="236">
        <f>M11</f>
        <v>0.96694499587030536</v>
      </c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</row>
    <row r="47" spans="1:42" s="92" customFormat="1" ht="15" customHeight="1" thickBot="1" x14ac:dyDescent="0.3">
      <c r="C47" s="294" t="s">
        <v>128</v>
      </c>
      <c r="D47" s="295"/>
      <c r="F47" s="235">
        <f>F45*F46</f>
        <v>4836965.70824329</v>
      </c>
      <c r="H47" s="298" t="s">
        <v>128</v>
      </c>
      <c r="I47" s="299"/>
      <c r="J47" s="299"/>
      <c r="K47" s="300"/>
      <c r="L47" s="235">
        <f>L45*L46</f>
        <v>4346901.2289349576</v>
      </c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</row>
    <row r="48" spans="1:42" s="92" customFormat="1" ht="15.75" thickBot="1" x14ac:dyDescent="0.3">
      <c r="C48" s="294" t="s">
        <v>129</v>
      </c>
      <c r="D48" s="295"/>
      <c r="F48" s="235">
        <f>F47*85%</f>
        <v>4111420.8520067963</v>
      </c>
      <c r="H48" s="298" t="s">
        <v>129</v>
      </c>
      <c r="I48" s="299"/>
      <c r="J48" s="299"/>
      <c r="K48" s="300"/>
      <c r="L48" s="235">
        <f>L47*85%</f>
        <v>3694866.044594714</v>
      </c>
      <c r="AE48" s="93"/>
      <c r="AF48" s="93"/>
      <c r="AG48" s="93"/>
      <c r="AH48" s="93"/>
      <c r="AI48" s="93"/>
      <c r="AJ48" s="93"/>
      <c r="AK48" s="93"/>
      <c r="AL48" s="93"/>
      <c r="AM48" s="93"/>
      <c r="AN48" s="93"/>
      <c r="AO48" s="93"/>
      <c r="AP48" s="93"/>
    </row>
    <row r="49" spans="3:42" s="92" customFormat="1" ht="15" customHeight="1" thickBot="1" x14ac:dyDescent="0.3">
      <c r="C49" s="294" t="s">
        <v>130</v>
      </c>
      <c r="D49" s="295"/>
      <c r="F49" s="235">
        <f>F47*15%</f>
        <v>725544.85623649345</v>
      </c>
      <c r="H49" s="298" t="s">
        <v>130</v>
      </c>
      <c r="I49" s="299"/>
      <c r="J49" s="299"/>
      <c r="K49" s="300"/>
      <c r="L49" s="235">
        <f>L47*15%</f>
        <v>652035.18434024358</v>
      </c>
      <c r="AE49" s="93"/>
      <c r="AF49" s="93"/>
      <c r="AG49" s="93"/>
      <c r="AH49" s="93"/>
      <c r="AI49" s="93"/>
      <c r="AJ49" s="93"/>
      <c r="AK49" s="93"/>
      <c r="AL49" s="93"/>
      <c r="AM49" s="93"/>
      <c r="AN49" s="93"/>
      <c r="AO49" s="93"/>
      <c r="AP49" s="93"/>
    </row>
    <row r="50" spans="3:42" s="92" customFormat="1" ht="15.75" thickBot="1" x14ac:dyDescent="0.3">
      <c r="C50" s="237" t="s">
        <v>131</v>
      </c>
      <c r="D50" s="238"/>
      <c r="F50" s="239">
        <f>F45-F47</f>
        <v>160534.29175671004</v>
      </c>
      <c r="H50" s="291" t="s">
        <v>131</v>
      </c>
      <c r="I50" s="292"/>
      <c r="J50" s="292"/>
      <c r="K50" s="293"/>
      <c r="L50" s="239">
        <f>L45-L47</f>
        <v>148598.77106504235</v>
      </c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</row>
    <row r="51" spans="3:42" s="92" customFormat="1" x14ac:dyDescent="0.25">
      <c r="AE51" s="93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3"/>
    </row>
    <row r="52" spans="3:42" s="92" customFormat="1" x14ac:dyDescent="0.25">
      <c r="G52" s="252">
        <f>F50+L50</f>
        <v>309133.06282175239</v>
      </c>
      <c r="AE52" s="93"/>
      <c r="AF52" s="93"/>
      <c r="AG52" s="93"/>
      <c r="AH52" s="93"/>
      <c r="AI52" s="93"/>
      <c r="AJ52" s="93"/>
      <c r="AK52" s="93"/>
      <c r="AL52" s="93"/>
      <c r="AM52" s="93"/>
      <c r="AN52" s="93"/>
      <c r="AO52" s="93"/>
      <c r="AP52" s="93"/>
    </row>
    <row r="53" spans="3:42" s="92" customFormat="1" x14ac:dyDescent="0.25">
      <c r="AE53" s="93"/>
      <c r="AF53" s="93"/>
      <c r="AG53" s="93"/>
      <c r="AH53" s="93"/>
      <c r="AI53" s="93"/>
      <c r="AJ53" s="93"/>
      <c r="AK53" s="93"/>
      <c r="AL53" s="93"/>
      <c r="AM53" s="93"/>
      <c r="AN53" s="93"/>
      <c r="AO53" s="93"/>
      <c r="AP53" s="93"/>
    </row>
    <row r="54" spans="3:42" s="92" customFormat="1" x14ac:dyDescent="0.25">
      <c r="AE54" s="93"/>
      <c r="AF54" s="93"/>
      <c r="AG54" s="93"/>
      <c r="AH54" s="93"/>
      <c r="AI54" s="93"/>
      <c r="AJ54" s="93"/>
      <c r="AK54" s="93"/>
      <c r="AL54" s="93"/>
      <c r="AM54" s="93"/>
      <c r="AN54" s="93"/>
      <c r="AO54" s="93"/>
      <c r="AP54" s="93"/>
    </row>
    <row r="55" spans="3:42" s="92" customFormat="1" x14ac:dyDescent="0.25">
      <c r="AE55" s="93"/>
      <c r="AF55" s="93"/>
      <c r="AG55" s="93"/>
      <c r="AH55" s="93"/>
      <c r="AI55" s="93"/>
      <c r="AJ55" s="93"/>
      <c r="AK55" s="93"/>
      <c r="AL55" s="93"/>
      <c r="AM55" s="93"/>
      <c r="AN55" s="93"/>
      <c r="AO55" s="93"/>
      <c r="AP55" s="93"/>
    </row>
    <row r="56" spans="3:42" s="92" customFormat="1" x14ac:dyDescent="0.25">
      <c r="AE56" s="93"/>
      <c r="AF56" s="93"/>
      <c r="AG56" s="93"/>
      <c r="AH56" s="93"/>
      <c r="AI56" s="93"/>
      <c r="AJ56" s="93"/>
      <c r="AK56" s="93"/>
      <c r="AL56" s="93"/>
      <c r="AM56" s="93"/>
      <c r="AN56" s="93"/>
      <c r="AO56" s="93"/>
      <c r="AP56" s="93"/>
    </row>
    <row r="57" spans="3:42" s="92" customFormat="1" x14ac:dyDescent="0.25">
      <c r="AE57" s="93"/>
      <c r="AF57" s="93"/>
      <c r="AG57" s="93"/>
      <c r="AH57" s="93"/>
      <c r="AI57" s="93"/>
      <c r="AJ57" s="93"/>
      <c r="AK57" s="93"/>
      <c r="AL57" s="93"/>
      <c r="AM57" s="93"/>
      <c r="AN57" s="93"/>
      <c r="AO57" s="93"/>
      <c r="AP57" s="93"/>
    </row>
    <row r="58" spans="3:42" s="92" customFormat="1" x14ac:dyDescent="0.25"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</row>
    <row r="59" spans="3:42" s="92" customFormat="1" x14ac:dyDescent="0.25">
      <c r="AE59" s="93"/>
      <c r="AF59" s="93"/>
      <c r="AG59" s="93"/>
      <c r="AH59" s="93"/>
      <c r="AI59" s="93"/>
      <c r="AJ59" s="93"/>
      <c r="AK59" s="93"/>
      <c r="AL59" s="93"/>
      <c r="AM59" s="93"/>
      <c r="AN59" s="93"/>
      <c r="AO59" s="93"/>
      <c r="AP59" s="93"/>
    </row>
    <row r="60" spans="3:42" s="92" customFormat="1" x14ac:dyDescent="0.25">
      <c r="AE60" s="93"/>
      <c r="AF60" s="93"/>
      <c r="AG60" s="93"/>
      <c r="AH60" s="93"/>
      <c r="AI60" s="93"/>
      <c r="AJ60" s="93"/>
      <c r="AK60" s="93"/>
      <c r="AL60" s="93"/>
      <c r="AM60" s="93"/>
      <c r="AN60" s="93"/>
      <c r="AO60" s="93"/>
      <c r="AP60" s="93"/>
    </row>
    <row r="61" spans="3:42" s="92" customFormat="1" x14ac:dyDescent="0.25"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</row>
    <row r="62" spans="3:42" s="92" customFormat="1" x14ac:dyDescent="0.25">
      <c r="AE62" s="93"/>
      <c r="AF62" s="93"/>
      <c r="AG62" s="93"/>
      <c r="AH62" s="93"/>
      <c r="AI62" s="93"/>
      <c r="AJ62" s="93"/>
      <c r="AK62" s="93"/>
      <c r="AL62" s="93"/>
      <c r="AM62" s="93"/>
      <c r="AN62" s="93"/>
      <c r="AO62" s="93"/>
      <c r="AP62" s="93"/>
    </row>
    <row r="63" spans="3:42" s="92" customFormat="1" x14ac:dyDescent="0.25">
      <c r="AE63" s="93"/>
      <c r="AF63" s="93"/>
      <c r="AG63" s="93"/>
      <c r="AH63" s="93"/>
      <c r="AI63" s="93"/>
      <c r="AJ63" s="93"/>
      <c r="AK63" s="93"/>
      <c r="AL63" s="93"/>
      <c r="AM63" s="93"/>
      <c r="AN63" s="93"/>
      <c r="AO63" s="93"/>
      <c r="AP63" s="93"/>
    </row>
    <row r="64" spans="3:42" s="92" customFormat="1" x14ac:dyDescent="0.25">
      <c r="AE64" s="93"/>
      <c r="AF64" s="93"/>
      <c r="AG64" s="93"/>
      <c r="AH64" s="93"/>
      <c r="AI64" s="93"/>
      <c r="AJ64" s="93"/>
      <c r="AK64" s="93"/>
      <c r="AL64" s="93"/>
      <c r="AM64" s="93"/>
      <c r="AN64" s="93"/>
      <c r="AO64" s="93"/>
      <c r="AP64" s="93"/>
    </row>
    <row r="65" spans="31:42" s="92" customFormat="1" x14ac:dyDescent="0.25">
      <c r="AE65" s="93"/>
      <c r="AF65" s="93"/>
      <c r="AG65" s="93"/>
      <c r="AH65" s="93"/>
      <c r="AI65" s="93"/>
      <c r="AJ65" s="93"/>
      <c r="AK65" s="93"/>
      <c r="AL65" s="93"/>
      <c r="AM65" s="93"/>
      <c r="AN65" s="93"/>
      <c r="AO65" s="93"/>
      <c r="AP65" s="93"/>
    </row>
    <row r="66" spans="31:42" s="92" customFormat="1" x14ac:dyDescent="0.25">
      <c r="AE66" s="93"/>
      <c r="AF66" s="93"/>
      <c r="AG66" s="93"/>
      <c r="AH66" s="93"/>
      <c r="AI66" s="93"/>
      <c r="AJ66" s="93"/>
      <c r="AK66" s="93"/>
      <c r="AL66" s="93"/>
      <c r="AM66" s="93"/>
      <c r="AN66" s="93"/>
      <c r="AO66" s="93"/>
      <c r="AP66" s="93"/>
    </row>
    <row r="67" spans="31:42" s="92" customFormat="1" x14ac:dyDescent="0.25">
      <c r="AE67" s="93"/>
      <c r="AF67" s="93"/>
      <c r="AG67" s="93"/>
      <c r="AH67" s="93"/>
      <c r="AI67" s="93"/>
      <c r="AJ67" s="93"/>
      <c r="AK67" s="93"/>
      <c r="AL67" s="93"/>
      <c r="AM67" s="93"/>
      <c r="AN67" s="93"/>
      <c r="AO67" s="93"/>
      <c r="AP67" s="93"/>
    </row>
    <row r="68" spans="31:42" s="92" customFormat="1" x14ac:dyDescent="0.25">
      <c r="AE68" s="93"/>
      <c r="AF68" s="93"/>
      <c r="AG68" s="93"/>
      <c r="AH68" s="93"/>
      <c r="AI68" s="93"/>
      <c r="AJ68" s="93"/>
      <c r="AK68" s="93"/>
      <c r="AL68" s="93"/>
      <c r="AM68" s="93"/>
      <c r="AN68" s="93"/>
      <c r="AO68" s="93"/>
      <c r="AP68" s="93"/>
    </row>
    <row r="69" spans="31:42" s="92" customFormat="1" x14ac:dyDescent="0.25">
      <c r="AE69" s="93"/>
      <c r="AF69" s="93"/>
      <c r="AG69" s="93"/>
      <c r="AH69" s="93"/>
      <c r="AI69" s="93"/>
      <c r="AJ69" s="93"/>
      <c r="AK69" s="93"/>
      <c r="AL69" s="93"/>
      <c r="AM69" s="93"/>
      <c r="AN69" s="93"/>
      <c r="AO69" s="93"/>
      <c r="AP69" s="93"/>
    </row>
    <row r="70" spans="31:42" s="92" customFormat="1" x14ac:dyDescent="0.25">
      <c r="AE70" s="93"/>
      <c r="AF70" s="93"/>
      <c r="AG70" s="93"/>
      <c r="AH70" s="93"/>
      <c r="AI70" s="93"/>
      <c r="AJ70" s="93"/>
      <c r="AK70" s="93"/>
      <c r="AL70" s="93"/>
      <c r="AM70" s="93"/>
      <c r="AN70" s="93"/>
      <c r="AO70" s="93"/>
      <c r="AP70" s="93"/>
    </row>
    <row r="71" spans="31:42" s="92" customFormat="1" x14ac:dyDescent="0.25">
      <c r="AE71" s="93"/>
      <c r="AF71" s="93"/>
      <c r="AG71" s="93"/>
      <c r="AH71" s="93"/>
      <c r="AI71" s="93"/>
      <c r="AJ71" s="93"/>
      <c r="AK71" s="93"/>
      <c r="AL71" s="93"/>
      <c r="AM71" s="93"/>
      <c r="AN71" s="93"/>
      <c r="AO71" s="93"/>
      <c r="AP71" s="93"/>
    </row>
    <row r="72" spans="31:42" s="92" customFormat="1" x14ac:dyDescent="0.25">
      <c r="AE72" s="93"/>
      <c r="AF72" s="93"/>
      <c r="AG72" s="93"/>
      <c r="AH72" s="93"/>
      <c r="AI72" s="93"/>
      <c r="AJ72" s="93"/>
      <c r="AK72" s="93"/>
      <c r="AL72" s="93"/>
      <c r="AM72" s="93"/>
      <c r="AN72" s="93"/>
      <c r="AO72" s="93"/>
      <c r="AP72" s="93"/>
    </row>
    <row r="73" spans="31:42" s="92" customFormat="1" x14ac:dyDescent="0.25">
      <c r="AE73" s="93"/>
      <c r="AF73" s="93"/>
      <c r="AG73" s="93"/>
      <c r="AH73" s="93"/>
      <c r="AI73" s="93"/>
      <c r="AJ73" s="93"/>
      <c r="AK73" s="93"/>
      <c r="AL73" s="93"/>
      <c r="AM73" s="93"/>
      <c r="AN73" s="93"/>
      <c r="AO73" s="93"/>
      <c r="AP73" s="93"/>
    </row>
    <row r="74" spans="31:42" s="92" customFormat="1" x14ac:dyDescent="0.25">
      <c r="AE74" s="93"/>
      <c r="AF74" s="93"/>
      <c r="AG74" s="93"/>
      <c r="AH74" s="93"/>
      <c r="AI74" s="93"/>
      <c r="AJ74" s="93"/>
      <c r="AK74" s="93"/>
      <c r="AL74" s="93"/>
      <c r="AM74" s="93"/>
      <c r="AN74" s="93"/>
      <c r="AO74" s="93"/>
      <c r="AP74" s="93"/>
    </row>
    <row r="75" spans="31:42" s="92" customFormat="1" x14ac:dyDescent="0.25">
      <c r="AE75" s="93"/>
      <c r="AF75" s="93"/>
      <c r="AG75" s="93"/>
      <c r="AH75" s="93"/>
      <c r="AI75" s="93"/>
      <c r="AJ75" s="93"/>
      <c r="AK75" s="93"/>
      <c r="AL75" s="93"/>
      <c r="AM75" s="93"/>
      <c r="AN75" s="93"/>
      <c r="AO75" s="93"/>
      <c r="AP75" s="93"/>
    </row>
    <row r="76" spans="31:42" s="92" customFormat="1" x14ac:dyDescent="0.25">
      <c r="AE76" s="93"/>
      <c r="AF76" s="93"/>
      <c r="AG76" s="93"/>
      <c r="AH76" s="93"/>
      <c r="AI76" s="93"/>
      <c r="AJ76" s="93"/>
      <c r="AK76" s="93"/>
      <c r="AL76" s="93"/>
      <c r="AM76" s="93"/>
      <c r="AN76" s="93"/>
      <c r="AO76" s="93"/>
      <c r="AP76" s="93"/>
    </row>
    <row r="77" spans="31:42" s="92" customFormat="1" x14ac:dyDescent="0.25">
      <c r="AE77" s="93"/>
      <c r="AF77" s="93"/>
      <c r="AG77" s="93"/>
      <c r="AH77" s="93"/>
      <c r="AI77" s="93"/>
      <c r="AJ77" s="93"/>
      <c r="AK77" s="93"/>
      <c r="AL77" s="93"/>
      <c r="AM77" s="93"/>
      <c r="AN77" s="93"/>
      <c r="AO77" s="93"/>
      <c r="AP77" s="93"/>
    </row>
    <row r="78" spans="31:42" s="92" customFormat="1" x14ac:dyDescent="0.25">
      <c r="AE78" s="93"/>
      <c r="AF78" s="93"/>
      <c r="AG78" s="93"/>
      <c r="AH78" s="93"/>
      <c r="AI78" s="93"/>
      <c r="AJ78" s="93"/>
      <c r="AK78" s="93"/>
      <c r="AL78" s="93"/>
      <c r="AM78" s="93"/>
      <c r="AN78" s="93"/>
      <c r="AO78" s="93"/>
      <c r="AP78" s="93"/>
    </row>
    <row r="79" spans="31:42" s="92" customFormat="1" x14ac:dyDescent="0.25">
      <c r="AE79" s="93"/>
      <c r="AF79" s="93"/>
      <c r="AG79" s="93"/>
      <c r="AH79" s="93"/>
      <c r="AI79" s="93"/>
      <c r="AJ79" s="93"/>
      <c r="AK79" s="93"/>
      <c r="AL79" s="93"/>
      <c r="AM79" s="93"/>
      <c r="AN79" s="93"/>
      <c r="AO79" s="93"/>
      <c r="AP79" s="93"/>
    </row>
    <row r="80" spans="31:42" s="92" customFormat="1" x14ac:dyDescent="0.25">
      <c r="AE80" s="93"/>
      <c r="AF80" s="93"/>
      <c r="AG80" s="93"/>
      <c r="AH80" s="93"/>
      <c r="AI80" s="93"/>
      <c r="AJ80" s="93"/>
      <c r="AK80" s="93"/>
      <c r="AL80" s="93"/>
      <c r="AM80" s="93"/>
      <c r="AN80" s="93"/>
      <c r="AO80" s="93"/>
      <c r="AP80" s="93"/>
    </row>
    <row r="81" spans="31:42" s="92" customFormat="1" x14ac:dyDescent="0.25">
      <c r="AE81" s="93"/>
      <c r="AF81" s="93"/>
      <c r="AG81" s="93"/>
      <c r="AH81" s="93"/>
      <c r="AI81" s="93"/>
      <c r="AJ81" s="93"/>
      <c r="AK81" s="93"/>
      <c r="AL81" s="93"/>
      <c r="AM81" s="93"/>
      <c r="AN81" s="93"/>
      <c r="AO81" s="93"/>
      <c r="AP81" s="93"/>
    </row>
    <row r="82" spans="31:42" s="92" customFormat="1" x14ac:dyDescent="0.25"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</row>
    <row r="83" spans="31:42" s="92" customFormat="1" x14ac:dyDescent="0.25">
      <c r="AE83" s="93"/>
      <c r="AF83" s="93"/>
      <c r="AG83" s="93"/>
      <c r="AH83" s="93"/>
      <c r="AI83" s="93"/>
      <c r="AJ83" s="93"/>
      <c r="AK83" s="93"/>
      <c r="AL83" s="93"/>
      <c r="AM83" s="93"/>
      <c r="AN83" s="93"/>
      <c r="AO83" s="93"/>
      <c r="AP83" s="93"/>
    </row>
    <row r="84" spans="31:42" s="92" customFormat="1" x14ac:dyDescent="0.25">
      <c r="AE84" s="93"/>
      <c r="AF84" s="93"/>
      <c r="AG84" s="93"/>
      <c r="AH84" s="93"/>
      <c r="AI84" s="93"/>
      <c r="AJ84" s="93"/>
      <c r="AK84" s="93"/>
      <c r="AL84" s="93"/>
      <c r="AM84" s="93"/>
      <c r="AN84" s="93"/>
      <c r="AO84" s="93"/>
      <c r="AP84" s="93"/>
    </row>
    <row r="85" spans="31:42" s="92" customFormat="1" x14ac:dyDescent="0.25">
      <c r="AE85" s="93"/>
      <c r="AF85" s="93"/>
      <c r="AG85" s="93"/>
      <c r="AH85" s="93"/>
      <c r="AI85" s="93"/>
      <c r="AJ85" s="93"/>
      <c r="AK85" s="93"/>
      <c r="AL85" s="93"/>
      <c r="AM85" s="93"/>
      <c r="AN85" s="93"/>
      <c r="AO85" s="93"/>
      <c r="AP85" s="93"/>
    </row>
    <row r="86" spans="31:42" s="92" customFormat="1" x14ac:dyDescent="0.25">
      <c r="AE86" s="93"/>
      <c r="AF86" s="93"/>
      <c r="AG86" s="93"/>
      <c r="AH86" s="93"/>
      <c r="AI86" s="93"/>
      <c r="AJ86" s="93"/>
      <c r="AK86" s="93"/>
      <c r="AL86" s="93"/>
      <c r="AM86" s="93"/>
      <c r="AN86" s="93"/>
      <c r="AO86" s="93"/>
      <c r="AP86" s="93"/>
    </row>
    <row r="87" spans="31:42" s="92" customFormat="1" x14ac:dyDescent="0.25">
      <c r="AE87" s="93"/>
      <c r="AF87" s="93"/>
      <c r="AG87" s="93"/>
      <c r="AH87" s="93"/>
      <c r="AI87" s="93"/>
      <c r="AJ87" s="93"/>
      <c r="AK87" s="93"/>
      <c r="AL87" s="93"/>
      <c r="AM87" s="93"/>
      <c r="AN87" s="93"/>
      <c r="AO87" s="93"/>
      <c r="AP87" s="93"/>
    </row>
    <row r="88" spans="31:42" s="92" customFormat="1" x14ac:dyDescent="0.25">
      <c r="AE88" s="93"/>
      <c r="AF88" s="93"/>
      <c r="AG88" s="93"/>
      <c r="AH88" s="93"/>
      <c r="AI88" s="93"/>
      <c r="AJ88" s="93"/>
      <c r="AK88" s="93"/>
      <c r="AL88" s="93"/>
      <c r="AM88" s="93"/>
      <c r="AN88" s="93"/>
      <c r="AO88" s="93"/>
      <c r="AP88" s="93"/>
    </row>
    <row r="89" spans="31:42" s="92" customFormat="1" x14ac:dyDescent="0.25">
      <c r="AE89" s="93"/>
      <c r="AF89" s="93"/>
      <c r="AG89" s="93"/>
      <c r="AH89" s="93"/>
      <c r="AI89" s="93"/>
      <c r="AJ89" s="93"/>
      <c r="AK89" s="93"/>
      <c r="AL89" s="93"/>
      <c r="AM89" s="93"/>
      <c r="AN89" s="93"/>
      <c r="AO89" s="93"/>
      <c r="AP89" s="93"/>
    </row>
    <row r="90" spans="31:42" s="92" customFormat="1" x14ac:dyDescent="0.25">
      <c r="AE90" s="93"/>
      <c r="AF90" s="93"/>
      <c r="AG90" s="93"/>
      <c r="AH90" s="93"/>
      <c r="AI90" s="93"/>
      <c r="AJ90" s="93"/>
      <c r="AK90" s="93"/>
      <c r="AL90" s="93"/>
      <c r="AM90" s="93"/>
      <c r="AN90" s="93"/>
      <c r="AO90" s="93"/>
      <c r="AP90" s="93"/>
    </row>
    <row r="91" spans="31:42" s="92" customFormat="1" x14ac:dyDescent="0.25">
      <c r="AE91" s="93"/>
      <c r="AF91" s="93"/>
      <c r="AG91" s="93"/>
      <c r="AH91" s="93"/>
      <c r="AI91" s="93"/>
      <c r="AJ91" s="93"/>
      <c r="AK91" s="93"/>
      <c r="AL91" s="93"/>
      <c r="AM91" s="93"/>
      <c r="AN91" s="93"/>
      <c r="AO91" s="93"/>
      <c r="AP91" s="93"/>
    </row>
    <row r="92" spans="31:42" s="92" customFormat="1" x14ac:dyDescent="0.25">
      <c r="AE92" s="93"/>
      <c r="AF92" s="93"/>
      <c r="AG92" s="93"/>
      <c r="AH92" s="93"/>
      <c r="AI92" s="93"/>
      <c r="AJ92" s="93"/>
      <c r="AK92" s="93"/>
      <c r="AL92" s="93"/>
      <c r="AM92" s="93"/>
      <c r="AN92" s="93"/>
      <c r="AO92" s="93"/>
      <c r="AP92" s="93"/>
    </row>
    <row r="93" spans="31:42" s="92" customFormat="1" x14ac:dyDescent="0.25">
      <c r="AE93" s="93"/>
      <c r="AF93" s="93"/>
      <c r="AG93" s="93"/>
      <c r="AH93" s="93"/>
      <c r="AI93" s="93"/>
      <c r="AJ93" s="93"/>
      <c r="AK93" s="93"/>
      <c r="AL93" s="93"/>
      <c r="AM93" s="93"/>
      <c r="AN93" s="93"/>
      <c r="AO93" s="93"/>
      <c r="AP93" s="93"/>
    </row>
    <row r="94" spans="31:42" s="92" customFormat="1" x14ac:dyDescent="0.25">
      <c r="AE94" s="93"/>
      <c r="AF94" s="93"/>
      <c r="AG94" s="93"/>
      <c r="AH94" s="93"/>
      <c r="AI94" s="93"/>
      <c r="AJ94" s="93"/>
      <c r="AK94" s="93"/>
      <c r="AL94" s="93"/>
      <c r="AM94" s="93"/>
      <c r="AN94" s="93"/>
      <c r="AO94" s="93"/>
      <c r="AP94" s="93"/>
    </row>
    <row r="95" spans="31:42" s="92" customFormat="1" x14ac:dyDescent="0.25">
      <c r="AE95" s="93"/>
      <c r="AF95" s="93"/>
      <c r="AG95" s="93"/>
      <c r="AH95" s="93"/>
      <c r="AI95" s="93"/>
      <c r="AJ95" s="93"/>
      <c r="AK95" s="93"/>
      <c r="AL95" s="93"/>
      <c r="AM95" s="93"/>
      <c r="AN95" s="93"/>
      <c r="AO95" s="93"/>
      <c r="AP95" s="93"/>
    </row>
    <row r="96" spans="31:42" s="92" customFormat="1" x14ac:dyDescent="0.25">
      <c r="AE96" s="93"/>
      <c r="AF96" s="93"/>
      <c r="AG96" s="93"/>
      <c r="AH96" s="93"/>
      <c r="AI96" s="93"/>
      <c r="AJ96" s="93"/>
      <c r="AK96" s="93"/>
      <c r="AL96" s="93"/>
      <c r="AM96" s="93"/>
      <c r="AN96" s="93"/>
      <c r="AO96" s="93"/>
      <c r="AP96" s="93"/>
    </row>
    <row r="97" spans="31:42" s="92" customFormat="1" x14ac:dyDescent="0.25">
      <c r="AE97" s="93"/>
      <c r="AF97" s="93"/>
      <c r="AG97" s="93"/>
      <c r="AH97" s="93"/>
      <c r="AI97" s="93"/>
      <c r="AJ97" s="93"/>
      <c r="AK97" s="93"/>
      <c r="AL97" s="93"/>
      <c r="AM97" s="93"/>
      <c r="AN97" s="93"/>
      <c r="AO97" s="93"/>
      <c r="AP97" s="93"/>
    </row>
    <row r="98" spans="31:42" s="92" customFormat="1" x14ac:dyDescent="0.25">
      <c r="AE98" s="93"/>
      <c r="AF98" s="93"/>
      <c r="AG98" s="93"/>
      <c r="AH98" s="93"/>
      <c r="AI98" s="93"/>
      <c r="AJ98" s="93"/>
      <c r="AK98" s="93"/>
      <c r="AL98" s="93"/>
      <c r="AM98" s="93"/>
      <c r="AN98" s="93"/>
      <c r="AO98" s="93"/>
      <c r="AP98" s="93"/>
    </row>
    <row r="99" spans="31:42" s="92" customFormat="1" x14ac:dyDescent="0.25">
      <c r="AE99" s="93"/>
      <c r="AF99" s="93"/>
      <c r="AG99" s="93"/>
      <c r="AH99" s="93"/>
      <c r="AI99" s="93"/>
      <c r="AJ99" s="93"/>
      <c r="AK99" s="93"/>
      <c r="AL99" s="93"/>
      <c r="AM99" s="93"/>
      <c r="AN99" s="93"/>
      <c r="AO99" s="93"/>
      <c r="AP99" s="93"/>
    </row>
    <row r="100" spans="31:42" s="92" customFormat="1" x14ac:dyDescent="0.25">
      <c r="AE100" s="93"/>
      <c r="AF100" s="93"/>
      <c r="AG100" s="93"/>
      <c r="AH100" s="93"/>
      <c r="AI100" s="93"/>
      <c r="AJ100" s="93"/>
      <c r="AK100" s="93"/>
      <c r="AL100" s="93"/>
      <c r="AM100" s="93"/>
      <c r="AN100" s="93"/>
      <c r="AO100" s="93"/>
      <c r="AP100" s="93"/>
    </row>
    <row r="101" spans="31:42" s="92" customFormat="1" x14ac:dyDescent="0.25">
      <c r="AE101" s="93"/>
      <c r="AF101" s="93"/>
      <c r="AG101" s="93"/>
      <c r="AH101" s="93"/>
      <c r="AI101" s="93"/>
      <c r="AJ101" s="93"/>
      <c r="AK101" s="93"/>
      <c r="AL101" s="93"/>
      <c r="AM101" s="93"/>
      <c r="AN101" s="93"/>
      <c r="AO101" s="93"/>
      <c r="AP101" s="93"/>
    </row>
    <row r="102" spans="31:42" s="92" customFormat="1" x14ac:dyDescent="0.25">
      <c r="AE102" s="93"/>
      <c r="AF102" s="93"/>
      <c r="AG102" s="93"/>
      <c r="AH102" s="93"/>
      <c r="AI102" s="93"/>
      <c r="AJ102" s="93"/>
      <c r="AK102" s="93"/>
      <c r="AL102" s="93"/>
      <c r="AM102" s="93"/>
      <c r="AN102" s="93"/>
      <c r="AO102" s="93"/>
      <c r="AP102" s="93"/>
    </row>
    <row r="103" spans="31:42" s="92" customFormat="1" x14ac:dyDescent="0.25">
      <c r="AE103" s="93"/>
      <c r="AF103" s="93"/>
      <c r="AG103" s="93"/>
      <c r="AH103" s="93"/>
      <c r="AI103" s="93"/>
      <c r="AJ103" s="93"/>
      <c r="AK103" s="93"/>
      <c r="AL103" s="93"/>
      <c r="AM103" s="93"/>
      <c r="AN103" s="93"/>
      <c r="AO103" s="93"/>
      <c r="AP103" s="93"/>
    </row>
    <row r="104" spans="31:42" s="92" customFormat="1" x14ac:dyDescent="0.25">
      <c r="AE104" s="93"/>
      <c r="AF104" s="93"/>
      <c r="AG104" s="93"/>
      <c r="AH104" s="93"/>
      <c r="AI104" s="93"/>
      <c r="AJ104" s="93"/>
      <c r="AK104" s="93"/>
      <c r="AL104" s="93"/>
      <c r="AM104" s="93"/>
      <c r="AN104" s="93"/>
      <c r="AO104" s="93"/>
      <c r="AP104" s="93"/>
    </row>
    <row r="105" spans="31:42" s="92" customFormat="1" x14ac:dyDescent="0.25">
      <c r="AE105" s="93"/>
      <c r="AF105" s="93"/>
      <c r="AG105" s="93"/>
      <c r="AH105" s="93"/>
      <c r="AI105" s="93"/>
      <c r="AJ105" s="93"/>
      <c r="AK105" s="93"/>
      <c r="AL105" s="93"/>
      <c r="AM105" s="93"/>
      <c r="AN105" s="93"/>
      <c r="AO105" s="93"/>
      <c r="AP105" s="93"/>
    </row>
    <row r="106" spans="31:42" s="92" customFormat="1" x14ac:dyDescent="0.25">
      <c r="AE106" s="93"/>
      <c r="AF106" s="93"/>
      <c r="AG106" s="93"/>
      <c r="AH106" s="93"/>
      <c r="AI106" s="93"/>
      <c r="AJ106" s="93"/>
      <c r="AK106" s="93"/>
      <c r="AL106" s="93"/>
      <c r="AM106" s="93"/>
      <c r="AN106" s="93"/>
      <c r="AO106" s="93"/>
      <c r="AP106" s="93"/>
    </row>
    <row r="107" spans="31:42" s="92" customFormat="1" x14ac:dyDescent="0.25">
      <c r="AE107" s="93"/>
      <c r="AF107" s="93"/>
      <c r="AG107" s="93"/>
      <c r="AH107" s="93"/>
      <c r="AI107" s="93"/>
      <c r="AJ107" s="93"/>
      <c r="AK107" s="93"/>
      <c r="AL107" s="93"/>
      <c r="AM107" s="93"/>
      <c r="AN107" s="93"/>
      <c r="AO107" s="93"/>
      <c r="AP107" s="93"/>
    </row>
    <row r="108" spans="31:42" s="92" customFormat="1" x14ac:dyDescent="0.25">
      <c r="AE108" s="93"/>
      <c r="AF108" s="93"/>
      <c r="AG108" s="93"/>
      <c r="AH108" s="93"/>
      <c r="AI108" s="93"/>
      <c r="AJ108" s="93"/>
      <c r="AK108" s="93"/>
      <c r="AL108" s="93"/>
      <c r="AM108" s="93"/>
      <c r="AN108" s="93"/>
      <c r="AO108" s="93"/>
      <c r="AP108" s="93"/>
    </row>
    <row r="109" spans="31:42" s="92" customFormat="1" x14ac:dyDescent="0.25">
      <c r="AE109" s="93"/>
      <c r="AF109" s="93"/>
      <c r="AG109" s="93"/>
      <c r="AH109" s="93"/>
      <c r="AI109" s="93"/>
      <c r="AJ109" s="93"/>
      <c r="AK109" s="93"/>
      <c r="AL109" s="93"/>
      <c r="AM109" s="93"/>
      <c r="AN109" s="93"/>
      <c r="AO109" s="93"/>
      <c r="AP109" s="93"/>
    </row>
    <row r="110" spans="31:42" s="92" customFormat="1" x14ac:dyDescent="0.25">
      <c r="AE110" s="93"/>
      <c r="AF110" s="93"/>
      <c r="AG110" s="93"/>
      <c r="AH110" s="93"/>
      <c r="AI110" s="93"/>
      <c r="AJ110" s="93"/>
      <c r="AK110" s="93"/>
      <c r="AL110" s="93"/>
      <c r="AM110" s="93"/>
      <c r="AN110" s="93"/>
      <c r="AO110" s="93"/>
      <c r="AP110" s="93"/>
    </row>
    <row r="111" spans="31:42" s="92" customFormat="1" x14ac:dyDescent="0.25">
      <c r="AE111" s="93"/>
      <c r="AF111" s="93"/>
      <c r="AG111" s="93"/>
      <c r="AH111" s="93"/>
      <c r="AI111" s="93"/>
      <c r="AJ111" s="93"/>
      <c r="AK111" s="93"/>
      <c r="AL111" s="93"/>
      <c r="AM111" s="93"/>
      <c r="AN111" s="93"/>
      <c r="AO111" s="93"/>
      <c r="AP111" s="93"/>
    </row>
    <row r="112" spans="31:42" s="92" customFormat="1" x14ac:dyDescent="0.25">
      <c r="AE112" s="93"/>
      <c r="AF112" s="93"/>
      <c r="AG112" s="93"/>
      <c r="AH112" s="93"/>
      <c r="AI112" s="93"/>
      <c r="AJ112" s="93"/>
      <c r="AK112" s="93"/>
      <c r="AL112" s="93"/>
      <c r="AM112" s="93"/>
      <c r="AN112" s="93"/>
      <c r="AO112" s="93"/>
      <c r="AP112" s="93"/>
    </row>
    <row r="113" spans="31:42" s="92" customFormat="1" x14ac:dyDescent="0.25">
      <c r="AE113" s="93"/>
      <c r="AF113" s="93"/>
      <c r="AG113" s="93"/>
      <c r="AH113" s="93"/>
      <c r="AI113" s="93"/>
      <c r="AJ113" s="93"/>
      <c r="AK113" s="93"/>
      <c r="AL113" s="93"/>
      <c r="AM113" s="93"/>
      <c r="AN113" s="93"/>
      <c r="AO113" s="93"/>
      <c r="AP113" s="93"/>
    </row>
    <row r="114" spans="31:42" s="92" customFormat="1" x14ac:dyDescent="0.25">
      <c r="AE114" s="93"/>
      <c r="AF114" s="93"/>
      <c r="AG114" s="93"/>
      <c r="AH114" s="93"/>
      <c r="AI114" s="93"/>
      <c r="AJ114" s="93"/>
      <c r="AK114" s="93"/>
      <c r="AL114" s="93"/>
      <c r="AM114" s="93"/>
      <c r="AN114" s="93"/>
      <c r="AO114" s="93"/>
      <c r="AP114" s="93"/>
    </row>
    <row r="115" spans="31:42" s="92" customFormat="1" x14ac:dyDescent="0.25">
      <c r="AE115" s="93"/>
      <c r="AF115" s="93"/>
      <c r="AG115" s="93"/>
      <c r="AH115" s="93"/>
      <c r="AI115" s="93"/>
      <c r="AJ115" s="93"/>
      <c r="AK115" s="93"/>
      <c r="AL115" s="93"/>
      <c r="AM115" s="93"/>
      <c r="AN115" s="93"/>
      <c r="AO115" s="93"/>
      <c r="AP115" s="93"/>
    </row>
    <row r="116" spans="31:42" s="92" customFormat="1" x14ac:dyDescent="0.25">
      <c r="AE116" s="93"/>
      <c r="AF116" s="93"/>
      <c r="AG116" s="93"/>
      <c r="AH116" s="93"/>
      <c r="AI116" s="93"/>
      <c r="AJ116" s="93"/>
      <c r="AK116" s="93"/>
      <c r="AL116" s="93"/>
      <c r="AM116" s="93"/>
      <c r="AN116" s="93"/>
      <c r="AO116" s="93"/>
      <c r="AP116" s="93"/>
    </row>
    <row r="117" spans="31:42" s="92" customFormat="1" x14ac:dyDescent="0.25">
      <c r="AE117" s="93"/>
      <c r="AF117" s="93"/>
      <c r="AG117" s="93"/>
      <c r="AH117" s="93"/>
      <c r="AI117" s="93"/>
      <c r="AJ117" s="93"/>
      <c r="AK117" s="93"/>
      <c r="AL117" s="93"/>
      <c r="AM117" s="93"/>
      <c r="AN117" s="93"/>
      <c r="AO117" s="93"/>
      <c r="AP117" s="93"/>
    </row>
    <row r="118" spans="31:42" s="92" customFormat="1" x14ac:dyDescent="0.25">
      <c r="AE118" s="93"/>
      <c r="AF118" s="93"/>
      <c r="AG118" s="93"/>
      <c r="AH118" s="93"/>
      <c r="AI118" s="93"/>
      <c r="AJ118" s="93"/>
      <c r="AK118" s="93"/>
      <c r="AL118" s="93"/>
      <c r="AM118" s="93"/>
      <c r="AN118" s="93"/>
      <c r="AO118" s="93"/>
      <c r="AP118" s="93"/>
    </row>
  </sheetData>
  <scenarios current="0">
    <scenario name="1" locked="1" count="1" user="Maria Tchakarova" comment="Created by Maria Tchakarova on 15.2.2019">
      <inputCells r="F16" val="1476840,81759395"/>
    </scenario>
  </scenarios>
  <mergeCells count="31">
    <mergeCell ref="C11:D11"/>
    <mergeCell ref="H11:K11"/>
    <mergeCell ref="H50:K50"/>
    <mergeCell ref="C49:D49"/>
    <mergeCell ref="H44:K44"/>
    <mergeCell ref="H45:K45"/>
    <mergeCell ref="H46:K46"/>
    <mergeCell ref="H47:K47"/>
    <mergeCell ref="H48:K48"/>
    <mergeCell ref="H49:K49"/>
    <mergeCell ref="C44:D44"/>
    <mergeCell ref="C45:D45"/>
    <mergeCell ref="C46:D46"/>
    <mergeCell ref="C47:D47"/>
    <mergeCell ref="C48:D48"/>
    <mergeCell ref="D4:K5"/>
    <mergeCell ref="D6:K7"/>
    <mergeCell ref="C15:D15"/>
    <mergeCell ref="N15:P15"/>
    <mergeCell ref="C16:D16"/>
    <mergeCell ref="C13:D13"/>
    <mergeCell ref="C14:D14"/>
    <mergeCell ref="N14:P14"/>
    <mergeCell ref="C10:D10"/>
    <mergeCell ref="H10:K10"/>
    <mergeCell ref="C12:D12"/>
    <mergeCell ref="H13:K13"/>
    <mergeCell ref="H12:K12"/>
    <mergeCell ref="H14:K14"/>
    <mergeCell ref="H15:K15"/>
    <mergeCell ref="H16:K16"/>
  </mergeCells>
  <pageMargins left="0.19685039370078741" right="0.19685039370078741" top="0.98425196850393704" bottom="0.78740157480314965" header="0.19685039370078741" footer="0.19685039370078741"/>
  <pageSetup paperSize="8" scale="64" orientation="landscape" r:id="rId1"/>
  <headerFooter>
    <oddHeader>&amp;C&amp;G</oddHeader>
    <oddFooter>&amp;C&amp;G</oddFooter>
  </headerFooter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6" id="{21452A9D-8F69-493E-86B9-034AF85CE2F3}">
            <xm:f>$O$21&gt;'e:\Users\m.tchakarova\Desktop\BP-FSD\Читалище Васил Левски\[CBA Читалище Васил Левски.xlsx]Input Sheet'!#REF!</xm:f>
            <x14:dxf>
              <font>
                <color theme="2" tint="-0.24994659260841701"/>
              </font>
              <fill>
                <patternFill>
                  <bgColor theme="2" tint="-0.24994659260841701"/>
                </patternFill>
              </fill>
              <border>
                <left/>
                <right/>
                <top/>
                <bottom/>
              </border>
            </x14:dxf>
          </x14:cfRule>
          <xm:sqref>P19:AD19 P26:AD26 O19:O27 P38:AD38 O31:O39</xm:sqref>
        </x14:conditionalFormatting>
        <x14:conditionalFormatting xmlns:xm="http://schemas.microsoft.com/office/excel/2006/main">
          <x14:cfRule type="expression" priority="29" id="{34AEB775-1F50-4282-99A9-89BD4C2377F9}">
            <xm:f>$K$21&gt;'e:\Users\m.tchakarova\Desktop\BP-FSD\Читалище Васил Левски\[CBA Читалище Васил Левски.xlsx]Input Sheet'!#REF!</xm:f>
            <x14:dxf>
              <font>
                <color theme="2" tint="-0.24994659260841701"/>
              </font>
              <fill>
                <patternFill>
                  <bgColor theme="2" tint="-0.2499465926084170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K19:K27 K35:AD35</xm:sqref>
        </x14:conditionalFormatting>
        <x14:conditionalFormatting xmlns:xm="http://schemas.microsoft.com/office/excel/2006/main">
          <x14:cfRule type="expression" priority="33" id="{969D5957-46D1-442D-8EDB-B21814D5A78E}">
            <xm:f>'e:\Users\m.tchakarova\Desktop\BP-FSD\Читалище Васил Левски\[CBA Читалище Васил Левски.xlsx]Input Sheet'!#REF!&lt;6</xm:f>
            <x14:dxf>
              <font>
                <color rgb="FF9BDEFF"/>
              </font>
            </x14:dxf>
          </x14:cfRule>
          <x14:cfRule type="expression" priority="34" id="{2937305F-4C6B-434E-B8A5-3B73BD113F83}">
            <xm:f>'e:\Users\m.tchakarova\Desktop\BP-FSD\Читалище Васил Левски\[CBA Читалище Васил Левски.xlsx]Input Sheet'!#REF!=0</xm:f>
            <x14:dxf>
              <font>
                <color rgb="FF9BDEFF"/>
              </font>
            </x14:dxf>
          </x14:cfRule>
          <xm:sqref>D26:D27</xm:sqref>
        </x14:conditionalFormatting>
        <x14:conditionalFormatting xmlns:xm="http://schemas.microsoft.com/office/excel/2006/main">
          <x14:cfRule type="expression" priority="35" id="{99B6D4D9-FC6B-4EFB-959A-0F1666E31A97}">
            <xm:f>$L$21&gt;'e:\Users\m.tchakarova\Desktop\BP-FSD\Читалище Васил Левски\[CBA Читалище Васил Левски.xlsx]Input Sheet'!#REF!</xm:f>
            <x14:dxf>
              <font>
                <color theme="2" tint="-0.24994659260841701"/>
              </font>
              <fill>
                <patternFill>
                  <bgColor theme="2" tint="-0.24994659260841701"/>
                </patternFill>
              </fill>
              <border>
                <left/>
                <right/>
                <top/>
                <bottom/>
              </border>
            </x14:dxf>
          </x14:cfRule>
          <xm:sqref>L19:L27</xm:sqref>
        </x14:conditionalFormatting>
        <x14:conditionalFormatting xmlns:xm="http://schemas.microsoft.com/office/excel/2006/main">
          <x14:cfRule type="expression" priority="36" id="{76284218-2DF7-4A87-AB62-97F045CF86BD}">
            <xm:f>$N$21&gt;'e:\Users\m.tchakarova\Desktop\BP-FSD\Читалище Васил Левски\[CBA Читалище Васил Левски.xlsx]Input Sheet'!#REF!</xm:f>
            <x14:dxf>
              <font>
                <color theme="2" tint="-0.24994659260841701"/>
              </font>
              <fill>
                <patternFill>
                  <bgColor theme="2" tint="-0.24994659260841701"/>
                </patternFill>
              </fill>
              <border>
                <left/>
                <right/>
                <top/>
                <bottom/>
              </border>
            </x14:dxf>
          </x14:cfRule>
          <xm:sqref>O24:AC24 N19:N27 N31:N39</xm:sqref>
        </x14:conditionalFormatting>
        <x14:conditionalFormatting xmlns:xm="http://schemas.microsoft.com/office/excel/2006/main">
          <x14:cfRule type="expression" priority="37" id="{75AD594D-0310-4234-8667-8AD642DAD5AB}">
            <xm:f>$M$21&gt;'e:\Users\m.tchakarova\Desktop\BP-FSD\Читалище Васил Левски\[CBA Читалище Васил Левски.xlsx]Input Sheet'!#REF!</xm:f>
            <x14:dxf>
              <font>
                <color theme="2" tint="-0.24994659260841701"/>
              </font>
              <fill>
                <patternFill>
                  <bgColor theme="2" tint="-0.24994659260841701"/>
                </patternFill>
              </fill>
              <border>
                <left/>
                <right/>
                <top/>
                <bottom/>
              </border>
            </x14:dxf>
          </x14:cfRule>
          <xm:sqref>M19:M27</xm:sqref>
        </x14:conditionalFormatting>
        <x14:conditionalFormatting xmlns:xm="http://schemas.microsoft.com/office/excel/2006/main">
          <x14:cfRule type="expression" priority="31" id="{A3F4D946-17D3-4C13-8D30-6D0FC4B2010F}">
            <xm:f>'e:\Users\m.tchakarova\Desktop\BP-FSD\Читалище Васил Левски\[CBA Читалище Васил Левски.xlsx]Input Sheet'!#REF!=0</xm:f>
            <x14:dxf>
              <font>
                <color theme="0"/>
              </font>
            </x14:dxf>
          </x14:cfRule>
          <x14:cfRule type="expression" priority="32" id="{8938997A-627B-40E4-8498-AB9101262B40}">
            <xm:f>'e:\Users\m.tchakarova\Desktop\BP-FSD\Читалище Васил Левски\[CBA Читалище Васил Левски.xlsx]Input Sheet'!#REF!&lt;6</xm:f>
            <x14:dxf>
              <font>
                <color theme="0"/>
              </font>
            </x14:dxf>
          </x14:cfRule>
          <xm:sqref>F24:AC24 O25 F25:N26 F21:O21 F26:AD26 D21:D24 F22:AD23</xm:sqref>
        </x14:conditionalFormatting>
        <x14:conditionalFormatting xmlns:xm="http://schemas.microsoft.com/office/excel/2006/main">
          <x14:cfRule type="expression" priority="23" id="{91D9F252-B1ED-4FCA-B26C-A706229D7CAB}">
            <xm:f>$O$21&gt;'e:\Users\m.tchakarova\Desktop\BP-FSD\Читалище Васил Левски\[CBA Читалище Васил Левски.xlsx]Input Sheet'!#REF!</xm:f>
            <x14:dxf>
              <font>
                <color theme="2" tint="-0.24994659260841701"/>
              </font>
              <fill>
                <patternFill>
                  <bgColor theme="2" tint="-0.24994659260841701"/>
                </patternFill>
              </fill>
              <border>
                <left/>
                <right/>
                <top/>
                <bottom/>
              </border>
            </x14:dxf>
          </x14:cfRule>
          <xm:sqref>P24</xm:sqref>
        </x14:conditionalFormatting>
        <x14:conditionalFormatting xmlns:xm="http://schemas.microsoft.com/office/excel/2006/main">
          <x14:cfRule type="expression" priority="24" id="{46A81D46-0CD8-4CE7-8AD0-F47D434AA057}">
            <xm:f>'e:\Users\m.tchakarova\Desktop\BP-FSD\Читалище Васил Левски\[CBA Читалище Васил Левски.xlsx]Input Sheet'!#REF!=0</xm:f>
            <x14:dxf>
              <font>
                <color theme="0"/>
              </font>
            </x14:dxf>
          </x14:cfRule>
          <x14:cfRule type="expression" priority="25" id="{BB055CB6-F08F-4F88-B674-16F914E7963F}">
            <xm:f>'e:\Users\m.tchakarova\Desktop\BP-FSD\Читалище Васил Левски\[CBA Читалище Васил Левски.xlsx]Input Sheet'!#REF!&lt;6</xm:f>
            <x14:dxf>
              <font>
                <color theme="0"/>
              </font>
            </x14:dxf>
          </x14:cfRule>
          <xm:sqref>P24</xm:sqref>
        </x14:conditionalFormatting>
        <x14:conditionalFormatting xmlns:xm="http://schemas.microsoft.com/office/excel/2006/main">
          <x14:cfRule type="expression" priority="3" id="{0AD31C7D-EAF0-4E9F-AE04-DD22A88AB1C0}">
            <xm:f>$O$21&gt;'e:\Users\m.tchakarova\Desktop\BP-FSD\Читалище Васил Левски\[CBA Читалище Васил Левски.xlsx]Input Sheet'!#REF!</xm:f>
            <x14:dxf>
              <font>
                <color theme="2" tint="-0.24994659260841701"/>
              </font>
              <fill>
                <patternFill>
                  <bgColor theme="2" tint="-0.24994659260841701"/>
                </patternFill>
              </fill>
              <border>
                <left/>
                <right/>
                <top/>
                <bottom/>
              </border>
            </x14:dxf>
          </x14:cfRule>
          <xm:sqref>P36</xm:sqref>
        </x14:conditionalFormatting>
        <x14:conditionalFormatting xmlns:xm="http://schemas.microsoft.com/office/excel/2006/main">
          <x14:cfRule type="expression" priority="6" id="{C01DAC7B-1146-4F91-8F51-1196AB07A64F}">
            <xm:f>$O$21&gt;'e:\Users\m.tchakarova\Desktop\BP-FSD\Читалище Васил Левски\[CBA Читалище Васил Левски.xlsx]Input Sheet'!#REF!</xm:f>
            <x14:dxf>
              <font>
                <color theme="2" tint="-0.24994659260841701"/>
              </font>
              <fill>
                <patternFill>
                  <bgColor theme="2" tint="-0.24994659260841701"/>
                </patternFill>
              </fill>
              <border>
                <left/>
                <right/>
                <top/>
                <bottom/>
              </border>
            </x14:dxf>
          </x14:cfRule>
          <xm:sqref>P31:AD31</xm:sqref>
        </x14:conditionalFormatting>
        <x14:conditionalFormatting xmlns:xm="http://schemas.microsoft.com/office/excel/2006/main">
          <x14:cfRule type="expression" priority="7" id="{52888F59-63AB-4601-BFA1-B59959E58186}">
            <xm:f>$K$21&gt;'e:\Users\m.tchakarova\Desktop\BP-FSD\Читалище Васил Левски\[CBA Читалище Васил Левски.xlsx]Input Sheet'!#REF!</xm:f>
            <x14:dxf>
              <font>
                <color theme="2" tint="-0.24994659260841701"/>
              </font>
              <fill>
                <patternFill>
                  <bgColor theme="2" tint="-0.2499465926084170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K31:K39 K34:AD35</xm:sqref>
        </x14:conditionalFormatting>
        <x14:conditionalFormatting xmlns:xm="http://schemas.microsoft.com/office/excel/2006/main">
          <x14:cfRule type="expression" priority="10" id="{BCE80847-95E1-40EA-B0ED-A31E8FBEB9F8}">
            <xm:f>'e:\Users\m.tchakarova\Desktop\BP-FSD\Читалище Васил Левски\[CBA Читалище Васил Левски.xlsx]Input Sheet'!#REF!&lt;6</xm:f>
            <x14:dxf>
              <font>
                <color rgb="FF9BDEFF"/>
              </font>
            </x14:dxf>
          </x14:cfRule>
          <x14:cfRule type="expression" priority="11" id="{40922780-7849-4675-982A-6C361D7BC971}">
            <xm:f>'e:\Users\m.tchakarova\Desktop\BP-FSD\Читалище Васил Левски\[CBA Читалище Васил Левски.xlsx]Input Sheet'!#REF!=0</xm:f>
            <x14:dxf>
              <font>
                <color rgb="FF9BDEFF"/>
              </font>
            </x14:dxf>
          </x14:cfRule>
          <xm:sqref>D38</xm:sqref>
        </x14:conditionalFormatting>
        <x14:conditionalFormatting xmlns:xm="http://schemas.microsoft.com/office/excel/2006/main">
          <x14:cfRule type="expression" priority="12" id="{6C31660D-B933-46A0-840C-6888ED70F097}">
            <xm:f>$L$21&gt;'e:\Users\m.tchakarova\Desktop\BP-FSD\Читалище Васил Левски\[CBA Читалище Васил Левски.xlsx]Input Sheet'!#REF!</xm:f>
            <x14:dxf>
              <font>
                <color theme="2" tint="-0.24994659260841701"/>
              </font>
              <fill>
                <patternFill>
                  <bgColor theme="2" tint="-0.24994659260841701"/>
                </patternFill>
              </fill>
              <border>
                <left/>
                <right/>
                <top/>
                <bottom/>
              </border>
            </x14:dxf>
          </x14:cfRule>
          <xm:sqref>L31:L39</xm:sqref>
        </x14:conditionalFormatting>
        <x14:conditionalFormatting xmlns:xm="http://schemas.microsoft.com/office/excel/2006/main">
          <x14:cfRule type="expression" priority="13" id="{05CC8741-D489-46AA-ABF6-8CA298B88562}">
            <xm:f>$N$21&gt;'e:\Users\m.tchakarova\Desktop\BP-FSD\Читалище Васил Левски\[CBA Читалище Васил Левски.xlsx]Input Sheet'!#REF!</xm:f>
            <x14:dxf>
              <font>
                <color theme="2" tint="-0.24994659260841701"/>
              </font>
              <fill>
                <patternFill>
                  <bgColor theme="2" tint="-0.24994659260841701"/>
                </patternFill>
              </fill>
              <border>
                <left/>
                <right/>
                <top/>
                <bottom/>
              </border>
            </x14:dxf>
          </x14:cfRule>
          <xm:sqref>O36:AC36</xm:sqref>
        </x14:conditionalFormatting>
        <x14:conditionalFormatting xmlns:xm="http://schemas.microsoft.com/office/excel/2006/main">
          <x14:cfRule type="expression" priority="14" id="{D55D5A6F-D416-42E5-AED9-E342FD19D32E}">
            <xm:f>$M$21&gt;'e:\Users\m.tchakarova\Desktop\BP-FSD\Читалище Васил Левски\[CBA Читалище Васил Левски.xlsx]Input Sheet'!#REF!</xm:f>
            <x14:dxf>
              <font>
                <color theme="2" tint="-0.24994659260841701"/>
              </font>
              <fill>
                <patternFill>
                  <bgColor theme="2" tint="-0.24994659260841701"/>
                </patternFill>
              </fill>
              <border>
                <left/>
                <right/>
                <top/>
                <bottom/>
              </border>
            </x14:dxf>
          </x14:cfRule>
          <xm:sqref>M31:M39</xm:sqref>
        </x14:conditionalFormatting>
        <x14:conditionalFormatting xmlns:xm="http://schemas.microsoft.com/office/excel/2006/main">
          <x14:cfRule type="expression" priority="8" id="{87942AEE-2803-4B73-B0CC-62521E912E2B}">
            <xm:f>'e:\Users\m.tchakarova\Desktop\BP-FSD\Читалище Васил Левски\[CBA Читалище Васил Левски.xlsx]Input Sheet'!#REF!=0</xm:f>
            <x14:dxf>
              <font>
                <color theme="0"/>
              </font>
            </x14:dxf>
          </x14:cfRule>
          <x14:cfRule type="expression" priority="9" id="{B90EC20E-BBE2-438B-A7A5-4BD39C5293B0}">
            <xm:f>'e:\Users\m.tchakarova\Desktop\BP-FSD\Читалище Васил Левски\[CBA Читалище Васил Левски.xlsx]Input Sheet'!#REF!&lt;6</xm:f>
            <x14:dxf>
              <font>
                <color theme="0"/>
              </font>
            </x14:dxf>
          </x14:cfRule>
          <xm:sqref>F36:AC36 O37 F37:N38 O38:AD38 D33:D36 F33:O33 F34:AD35</xm:sqref>
        </x14:conditionalFormatting>
        <x14:conditionalFormatting xmlns:xm="http://schemas.microsoft.com/office/excel/2006/main">
          <x14:cfRule type="expression" priority="4" id="{E760D1D6-F7EA-4FD5-8D84-43CCF7E0C089}">
            <xm:f>'e:\Users\m.tchakarova\Desktop\BP-FSD\Читалище Васил Левски\[CBA Читалище Васил Левски.xlsx]Input Sheet'!#REF!=0</xm:f>
            <x14:dxf>
              <font>
                <color theme="0"/>
              </font>
            </x14:dxf>
          </x14:cfRule>
          <x14:cfRule type="expression" priority="5" id="{2F16B598-9F5E-4A0B-AD41-11D600730634}">
            <xm:f>'e:\Users\m.tchakarova\Desktop\BP-FSD\Читалище Васил Левски\[CBA Читалище Васил Левски.xlsx]Input Sheet'!#REF!&lt;6</xm:f>
            <x14:dxf>
              <font>
                <color theme="0"/>
              </font>
            </x14:dxf>
          </x14:cfRule>
          <xm:sqref>P36</xm:sqref>
        </x14:conditionalFormatting>
        <x14:conditionalFormatting xmlns:xm="http://schemas.microsoft.com/office/excel/2006/main">
          <x14:cfRule type="expression" priority="1" id="{6194AF79-FB14-46CB-A063-14781EE801AE}">
            <xm:f>'e:\Users\m.tchakarova\Desktop\BP-FSD\Читалище Васил Левски\[CBA Читалище Васил Левски.xlsx]Input Sheet'!#REF!&lt;6</xm:f>
            <x14:dxf>
              <font>
                <color rgb="FF9BDEFF"/>
              </font>
            </x14:dxf>
          </x14:cfRule>
          <x14:cfRule type="expression" priority="2" id="{BF8A0C31-518C-43AD-B8B3-2DE1629CC56A}">
            <xm:f>'e:\Users\m.tchakarova\Desktop\BP-FSD\Читалище Васил Левски\[CBA Читалище Васил Левски.xlsx]Input Sheet'!#REF!=0</xm:f>
            <x14:dxf>
              <font>
                <color rgb="FF9BDEFF"/>
              </font>
            </x14:dxf>
          </x14:cfRule>
          <xm:sqref>D39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J102"/>
  <sheetViews>
    <sheetView topLeftCell="A29" zoomScaleNormal="100" workbookViewId="0">
      <selection activeCell="D49" sqref="D49"/>
    </sheetView>
  </sheetViews>
  <sheetFormatPr defaultRowHeight="15" x14ac:dyDescent="0.25"/>
  <cols>
    <col min="1" max="1" width="4.140625" style="2" customWidth="1"/>
    <col min="2" max="2" width="0.85546875" style="2" customWidth="1"/>
    <col min="3" max="3" width="32.140625" customWidth="1"/>
    <col min="4" max="4" width="9.140625" customWidth="1"/>
    <col min="5" max="6" width="9.28515625" customWidth="1"/>
    <col min="7" max="7" width="9.140625" customWidth="1"/>
    <col min="8" max="8" width="9.28515625" hidden="1" customWidth="1"/>
    <col min="9" max="9" width="10.28515625" hidden="1" customWidth="1"/>
    <col min="10" max="29" width="9.28515625" style="2"/>
    <col min="30" max="30" width="0.5703125" style="2" customWidth="1"/>
    <col min="31" max="88" width="9.28515625" style="2"/>
  </cols>
  <sheetData>
    <row r="1" spans="2:13" s="2" customFormat="1" x14ac:dyDescent="0.25"/>
    <row r="2" spans="2:13" s="2" customFormat="1" ht="18.75" x14ac:dyDescent="0.3">
      <c r="C2" s="128" t="s">
        <v>100</v>
      </c>
    </row>
    <row r="3" spans="2:13" s="2" customFormat="1" ht="15.75" thickBot="1" x14ac:dyDescent="0.3"/>
    <row r="4" spans="2:13" s="2" customFormat="1" ht="14.65" customHeight="1" x14ac:dyDescent="0.25">
      <c r="C4" s="256" t="str">
        <f>'Финансов анализ'!D4</f>
        <v>Проект: Доставка, монтаж и въвеждане в експлоатация на  пристанищни приемни съоръжения (ППС) в българските пристанища за обществен транспорт с национално значение</v>
      </c>
      <c r="D4" s="257"/>
      <c r="E4" s="257"/>
      <c r="F4" s="257"/>
      <c r="G4" s="257"/>
      <c r="H4" s="257"/>
      <c r="I4" s="257"/>
      <c r="J4" s="257"/>
      <c r="K4" s="257"/>
      <c r="L4" s="257"/>
      <c r="M4" s="258"/>
    </row>
    <row r="5" spans="2:13" s="2" customFormat="1" ht="15" customHeight="1" thickBot="1" x14ac:dyDescent="0.3">
      <c r="C5" s="303"/>
      <c r="D5" s="304"/>
      <c r="E5" s="304"/>
      <c r="F5" s="304"/>
      <c r="G5" s="304"/>
      <c r="H5" s="304"/>
      <c r="I5" s="304"/>
      <c r="J5" s="304"/>
      <c r="K5" s="304"/>
      <c r="L5" s="304"/>
      <c r="M5" s="305"/>
    </row>
    <row r="6" spans="2:13" s="2" customFormat="1" ht="15.75" thickBot="1" x14ac:dyDescent="0.3">
      <c r="C6" s="306" t="str">
        <f>'Финансов анализ'!D6</f>
        <v>Държавно предприятие Пристанищна инфраструктура</v>
      </c>
      <c r="D6" s="307"/>
      <c r="E6" s="307"/>
      <c r="F6" s="307"/>
      <c r="G6" s="307"/>
      <c r="H6" s="307"/>
      <c r="I6" s="307"/>
      <c r="J6" s="307"/>
      <c r="K6" s="307"/>
      <c r="L6" s="307"/>
      <c r="M6" s="308"/>
    </row>
    <row r="7" spans="2:13" s="2" customFormat="1" x14ac:dyDescent="0.25"/>
    <row r="8" spans="2:13" s="2" customFormat="1" ht="18.75" x14ac:dyDescent="0.3">
      <c r="C8" s="128" t="s">
        <v>33</v>
      </c>
    </row>
    <row r="9" spans="2:13" s="2" customFormat="1" ht="5.65" customHeight="1" thickBot="1" x14ac:dyDescent="0.35">
      <c r="B9" s="3"/>
      <c r="C9" s="129"/>
      <c r="D9" s="3"/>
      <c r="E9" s="3"/>
      <c r="F9" s="3"/>
      <c r="G9" s="3"/>
      <c r="H9" s="3"/>
      <c r="I9" s="3"/>
    </row>
    <row r="10" spans="2:13" s="2" customFormat="1" ht="42" customHeight="1" x14ac:dyDescent="0.25">
      <c r="B10" s="3"/>
      <c r="C10" s="130" t="s">
        <v>34</v>
      </c>
      <c r="D10" s="131">
        <v>2018</v>
      </c>
      <c r="E10" s="131">
        <v>2017</v>
      </c>
      <c r="F10" s="131">
        <v>2016</v>
      </c>
      <c r="G10" s="132" t="s">
        <v>35</v>
      </c>
      <c r="H10" s="133" t="s">
        <v>36</v>
      </c>
      <c r="I10" s="134" t="s">
        <v>37</v>
      </c>
    </row>
    <row r="11" spans="2:13" s="2" customFormat="1" x14ac:dyDescent="0.25">
      <c r="B11" s="3"/>
      <c r="C11" s="135" t="s">
        <v>38</v>
      </c>
      <c r="D11" s="136">
        <v>30719</v>
      </c>
      <c r="E11" s="136">
        <v>32020</v>
      </c>
      <c r="F11" s="136">
        <v>29440</v>
      </c>
      <c r="G11" s="137">
        <f>AVERAGE(D11:F11)</f>
        <v>30726.333333333332</v>
      </c>
      <c r="H11" s="138">
        <f>G11/$G$22</f>
        <v>0.7945067544427743</v>
      </c>
      <c r="I11" s="16"/>
    </row>
    <row r="12" spans="2:13" s="2" customFormat="1" ht="0.4" customHeight="1" x14ac:dyDescent="0.25">
      <c r="B12" s="3"/>
      <c r="C12" s="139" t="s">
        <v>39</v>
      </c>
      <c r="D12" s="140">
        <f>(D11-E11)/E11</f>
        <v>-4.0630855715178014E-2</v>
      </c>
      <c r="E12" s="140">
        <f>(E11-F11)/F11</f>
        <v>8.7635869565217392E-2</v>
      </c>
      <c r="F12" s="141">
        <f>(F11-29828)/29828</f>
        <v>-1.3007912028966073E-2</v>
      </c>
      <c r="G12" s="142">
        <f>AVERAGE(D12:F12)</f>
        <v>1.1332367273691102E-2</v>
      </c>
      <c r="H12" s="143">
        <f>G12*50%</f>
        <v>5.6661836368455511E-3</v>
      </c>
      <c r="I12" s="144" t="s">
        <v>40</v>
      </c>
    </row>
    <row r="13" spans="2:13" s="2" customFormat="1" x14ac:dyDescent="0.25">
      <c r="B13" s="3"/>
      <c r="C13" s="135" t="s">
        <v>41</v>
      </c>
      <c r="D13" s="136">
        <v>1448</v>
      </c>
      <c r="E13" s="136">
        <v>1550</v>
      </c>
      <c r="F13" s="136">
        <v>1315</v>
      </c>
      <c r="G13" s="137">
        <f t="shared" ref="G13:G23" si="0">AVERAGE(D13:F13)</f>
        <v>1437.6666666666667</v>
      </c>
      <c r="H13" s="138">
        <f t="shared" ref="H13:H21" si="1">G13/$G$22</f>
        <v>3.7174493451997595E-2</v>
      </c>
      <c r="I13" s="145">
        <f>G13/$G$11</f>
        <v>4.6789398886948226E-2</v>
      </c>
    </row>
    <row r="14" spans="2:13" s="2" customFormat="1" x14ac:dyDescent="0.25">
      <c r="B14" s="3"/>
      <c r="C14" s="135" t="s">
        <v>42</v>
      </c>
      <c r="D14" s="136">
        <v>309</v>
      </c>
      <c r="E14" s="136">
        <v>331</v>
      </c>
      <c r="F14" s="136">
        <v>304</v>
      </c>
      <c r="G14" s="137">
        <f t="shared" si="0"/>
        <v>314.66666666666669</v>
      </c>
      <c r="H14" s="138">
        <f t="shared" si="1"/>
        <v>8.1364993783180455E-3</v>
      </c>
      <c r="I14" s="145">
        <f>G14/$G$11</f>
        <v>1.0240944249774895E-2</v>
      </c>
    </row>
    <row r="15" spans="2:13" s="2" customFormat="1" x14ac:dyDescent="0.25">
      <c r="B15" s="3"/>
      <c r="C15" s="135" t="s">
        <v>43</v>
      </c>
      <c r="D15" s="136">
        <v>2303</v>
      </c>
      <c r="E15" s="136">
        <v>2188</v>
      </c>
      <c r="F15" s="136">
        <v>1205</v>
      </c>
      <c r="G15" s="137">
        <f t="shared" si="0"/>
        <v>1898.6666666666667</v>
      </c>
      <c r="H15" s="138">
        <f t="shared" si="1"/>
        <v>4.9094809808156337E-2</v>
      </c>
      <c r="I15" s="145">
        <f>G15/$G$11</f>
        <v>6.1792816151184114E-2</v>
      </c>
    </row>
    <row r="16" spans="2:13" s="2" customFormat="1" ht="30" hidden="1" x14ac:dyDescent="0.25">
      <c r="B16" s="3"/>
      <c r="C16" s="30" t="s">
        <v>44</v>
      </c>
      <c r="D16" s="140">
        <f>(D15-E15)/E15</f>
        <v>5.2559414990859234E-2</v>
      </c>
      <c r="E16" s="140">
        <f>(E15-F15)/F15</f>
        <v>0.81576763485477177</v>
      </c>
      <c r="F16" s="141">
        <f>(F15-750)/750</f>
        <v>0.60666666666666669</v>
      </c>
      <c r="G16" s="142">
        <f>AVERAGE(D16:F16)</f>
        <v>0.49166457217076592</v>
      </c>
      <c r="H16" s="138"/>
      <c r="I16" s="16"/>
    </row>
    <row r="17" spans="2:30" s="2" customFormat="1" x14ac:dyDescent="0.25">
      <c r="B17" s="3"/>
      <c r="C17" s="135" t="s">
        <v>45</v>
      </c>
      <c r="D17" s="136">
        <v>45</v>
      </c>
      <c r="E17" s="136">
        <v>13</v>
      </c>
      <c r="F17" s="136">
        <v>10</v>
      </c>
      <c r="G17" s="137">
        <f t="shared" si="0"/>
        <v>22.666666666666668</v>
      </c>
      <c r="H17" s="138">
        <f t="shared" si="1"/>
        <v>5.8610376877714734E-4</v>
      </c>
      <c r="I17" s="145">
        <f>G17/$G$11</f>
        <v>7.3769513663632716E-4</v>
      </c>
    </row>
    <row r="18" spans="2:30" s="2" customFormat="1" ht="27.95" customHeight="1" x14ac:dyDescent="0.25">
      <c r="B18" s="3"/>
      <c r="C18" s="31" t="s">
        <v>46</v>
      </c>
      <c r="D18" s="136">
        <v>3670</v>
      </c>
      <c r="E18" s="136">
        <v>4277</v>
      </c>
      <c r="F18" s="136">
        <v>4077</v>
      </c>
      <c r="G18" s="137">
        <f t="shared" si="0"/>
        <v>4008</v>
      </c>
      <c r="H18" s="138">
        <f t="shared" si="1"/>
        <v>0.10363693699671205</v>
      </c>
      <c r="I18" s="145">
        <f>G18/$G$11</f>
        <v>0.13044185768992939</v>
      </c>
    </row>
    <row r="19" spans="2:30" s="2" customFormat="1" ht="30" hidden="1" x14ac:dyDescent="0.25">
      <c r="B19" s="3"/>
      <c r="C19" s="30" t="s">
        <v>47</v>
      </c>
      <c r="D19" s="140">
        <f>(D18-E18)/E18</f>
        <v>-0.14192190787935469</v>
      </c>
      <c r="E19" s="140">
        <f>(E18-F18)/F18</f>
        <v>4.905567819475104E-2</v>
      </c>
      <c r="F19" s="141">
        <f>(F18-4099)/4099</f>
        <v>-5.3671627226152723E-3</v>
      </c>
      <c r="G19" s="142">
        <f>AVERAGE(D19:F19)</f>
        <v>-3.2744464135739636E-2</v>
      </c>
      <c r="H19" s="138"/>
      <c r="I19" s="16"/>
    </row>
    <row r="20" spans="2:30" s="2" customFormat="1" x14ac:dyDescent="0.25">
      <c r="B20" s="3"/>
      <c r="C20" s="135" t="s">
        <v>48</v>
      </c>
      <c r="D20" s="136">
        <v>7</v>
      </c>
      <c r="E20" s="136">
        <v>4</v>
      </c>
      <c r="F20" s="136">
        <v>5</v>
      </c>
      <c r="G20" s="137">
        <f t="shared" si="0"/>
        <v>5.333333333333333</v>
      </c>
      <c r="H20" s="138">
        <f t="shared" si="1"/>
        <v>1.3790676912403465E-4</v>
      </c>
      <c r="I20" s="145">
        <f>G20/$G$11</f>
        <v>1.7357532626737109E-4</v>
      </c>
    </row>
    <row r="21" spans="2:30" s="2" customFormat="1" x14ac:dyDescent="0.25">
      <c r="B21" s="3"/>
      <c r="C21" s="135" t="s">
        <v>49</v>
      </c>
      <c r="D21" s="136">
        <v>89</v>
      </c>
      <c r="E21" s="136">
        <v>682</v>
      </c>
      <c r="F21" s="136">
        <v>8</v>
      </c>
      <c r="G21" s="137">
        <f t="shared" si="0"/>
        <v>259.66666666666669</v>
      </c>
      <c r="H21" s="138">
        <f t="shared" si="1"/>
        <v>6.7143358217264379E-3</v>
      </c>
      <c r="I21" s="145">
        <f>G21/$G$11</f>
        <v>8.450948697642631E-3</v>
      </c>
    </row>
    <row r="22" spans="2:30" s="2" customFormat="1" x14ac:dyDescent="0.25">
      <c r="B22" s="3"/>
      <c r="C22" s="135" t="s">
        <v>50</v>
      </c>
      <c r="D22" s="136">
        <f>SUM(D11:D21)</f>
        <v>38589.870006651392</v>
      </c>
      <c r="E22" s="136">
        <f>SUM(E11:E21)</f>
        <v>41065.952459182619</v>
      </c>
      <c r="F22" s="136">
        <f t="shared" ref="F22:G22" si="2">SUM(F11:F21)</f>
        <v>36364.588291591914</v>
      </c>
      <c r="G22" s="137">
        <f t="shared" si="2"/>
        <v>38673.470252475301</v>
      </c>
      <c r="H22" s="146"/>
      <c r="I22" s="16">
        <f>SUM(I11:I21)</f>
        <v>0.25862723613838295</v>
      </c>
    </row>
    <row r="23" spans="2:30" s="2" customFormat="1" ht="15.75" thickBot="1" x14ac:dyDescent="0.3">
      <c r="B23" s="3"/>
      <c r="C23" s="147" t="s">
        <v>51</v>
      </c>
      <c r="D23" s="148"/>
      <c r="E23" s="148">
        <v>840</v>
      </c>
      <c r="F23" s="148">
        <v>2236</v>
      </c>
      <c r="G23" s="149">
        <f t="shared" si="0"/>
        <v>1538</v>
      </c>
      <c r="H23"/>
      <c r="I23"/>
    </row>
    <row r="24" spans="2:30" s="2" customFormat="1" ht="3.95" customHeight="1" x14ac:dyDescent="0.25">
      <c r="B24" s="3"/>
      <c r="C24" s="3"/>
      <c r="D24" s="3"/>
      <c r="E24" s="3"/>
      <c r="F24" s="3"/>
      <c r="G24" s="3"/>
      <c r="H24" s="3"/>
      <c r="I24" s="3"/>
    </row>
    <row r="25" spans="2:30" s="2" customFormat="1" x14ac:dyDescent="0.25">
      <c r="D25" s="2" t="s">
        <v>52</v>
      </c>
      <c r="E25" s="2" t="s">
        <v>53</v>
      </c>
    </row>
    <row r="26" spans="2:30" s="2" customFormat="1" ht="3.4" customHeight="1" x14ac:dyDescent="0.25">
      <c r="B26" s="3"/>
      <c r="C26" s="3"/>
      <c r="D26" s="3"/>
      <c r="E26" s="3"/>
      <c r="F26" s="39"/>
      <c r="G26" s="39"/>
      <c r="K26" s="3"/>
      <c r="L26" s="3"/>
      <c r="M26" s="3"/>
      <c r="N26" s="3"/>
    </row>
    <row r="27" spans="2:30" s="2" customFormat="1" ht="28.35" customHeight="1" thickBot="1" x14ac:dyDescent="0.3">
      <c r="B27" s="3"/>
      <c r="C27" s="32" t="s">
        <v>54</v>
      </c>
      <c r="D27" s="228">
        <f>G13*1000/('Прогноза -отпадъци'!E10+'Прогноза -отпадъци'!E16)</f>
        <v>521.23467021446106</v>
      </c>
      <c r="E27" s="229">
        <f>D27*25.6%</f>
        <v>133.43607557490205</v>
      </c>
      <c r="F27" s="39"/>
      <c r="G27" s="150"/>
      <c r="K27" s="309" t="s">
        <v>119</v>
      </c>
      <c r="L27" s="309"/>
      <c r="M27" s="309"/>
      <c r="N27" s="227">
        <v>0.75</v>
      </c>
    </row>
    <row r="28" spans="2:30" s="2" customFormat="1" ht="3.4" customHeight="1" x14ac:dyDescent="0.25">
      <c r="B28" s="3"/>
      <c r="C28" s="151"/>
      <c r="D28" s="43"/>
      <c r="E28" s="43"/>
      <c r="F28" s="39"/>
      <c r="G28" s="150"/>
      <c r="K28" s="3"/>
      <c r="L28" s="3"/>
      <c r="M28" s="3"/>
      <c r="N28" s="3"/>
    </row>
    <row r="29" spans="2:30" s="39" customFormat="1" ht="25.35" customHeight="1" x14ac:dyDescent="0.25">
      <c r="C29" s="152"/>
      <c r="G29" s="150"/>
    </row>
    <row r="30" spans="2:30" s="39" customFormat="1" x14ac:dyDescent="0.25"/>
    <row r="31" spans="2:30" s="214" customFormat="1" ht="18.75" x14ac:dyDescent="0.3">
      <c r="C31" s="215" t="s">
        <v>122</v>
      </c>
      <c r="D31" s="214">
        <f>D10</f>
        <v>2018</v>
      </c>
      <c r="E31" s="214">
        <f>D31+1</f>
        <v>2019</v>
      </c>
      <c r="F31" s="214">
        <f t="shared" ref="F31:AC31" si="3">E31+1</f>
        <v>2020</v>
      </c>
      <c r="G31" s="214">
        <f t="shared" si="3"/>
        <v>2021</v>
      </c>
      <c r="H31" s="214">
        <f t="shared" si="3"/>
        <v>2022</v>
      </c>
      <c r="I31" s="214">
        <f t="shared" si="3"/>
        <v>2023</v>
      </c>
      <c r="J31" s="214">
        <f t="shared" si="3"/>
        <v>2024</v>
      </c>
      <c r="K31" s="214">
        <f t="shared" si="3"/>
        <v>2025</v>
      </c>
      <c r="L31" s="214">
        <f t="shared" si="3"/>
        <v>2026</v>
      </c>
      <c r="M31" s="214">
        <f t="shared" si="3"/>
        <v>2027</v>
      </c>
      <c r="N31" s="214">
        <f t="shared" si="3"/>
        <v>2028</v>
      </c>
      <c r="O31" s="214">
        <f t="shared" si="3"/>
        <v>2029</v>
      </c>
      <c r="P31" s="214">
        <f t="shared" si="3"/>
        <v>2030</v>
      </c>
      <c r="Q31" s="214">
        <f t="shared" si="3"/>
        <v>2031</v>
      </c>
      <c r="R31" s="214">
        <f t="shared" si="3"/>
        <v>2032</v>
      </c>
      <c r="S31" s="214">
        <f t="shared" si="3"/>
        <v>2033</v>
      </c>
      <c r="T31" s="214">
        <f t="shared" si="3"/>
        <v>2034</v>
      </c>
      <c r="U31" s="214">
        <f t="shared" si="3"/>
        <v>2035</v>
      </c>
      <c r="V31" s="214">
        <f t="shared" si="3"/>
        <v>2036</v>
      </c>
      <c r="W31" s="214">
        <f t="shared" si="3"/>
        <v>2037</v>
      </c>
      <c r="X31" s="214">
        <f t="shared" si="3"/>
        <v>2038</v>
      </c>
      <c r="Y31" s="214">
        <f t="shared" si="3"/>
        <v>2039</v>
      </c>
      <c r="Z31" s="214">
        <f t="shared" si="3"/>
        <v>2040</v>
      </c>
      <c r="AA31" s="214">
        <f t="shared" si="3"/>
        <v>2041</v>
      </c>
      <c r="AB31" s="214">
        <f t="shared" si="3"/>
        <v>2042</v>
      </c>
      <c r="AC31" s="214">
        <f t="shared" si="3"/>
        <v>2043</v>
      </c>
    </row>
    <row r="32" spans="2:30" s="39" customFormat="1" ht="4.3499999999999996" customHeight="1" x14ac:dyDescent="0.25">
      <c r="B32" s="43"/>
      <c r="C32" s="153"/>
      <c r="D32" s="43"/>
      <c r="E32" s="43"/>
      <c r="F32" s="43"/>
      <c r="G32" s="154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</row>
    <row r="33" spans="2:30" s="2" customFormat="1" ht="30.75" thickBot="1" x14ac:dyDescent="0.3">
      <c r="B33" s="3"/>
      <c r="C33" s="216" t="s">
        <v>121</v>
      </c>
      <c r="D33" s="221">
        <f>E27</f>
        <v>133.43607557490205</v>
      </c>
      <c r="E33" s="217">
        <f>D33*(1+(E39*$N$27))</f>
        <v>136.83869550206205</v>
      </c>
      <c r="F33" s="217">
        <f t="shared" ref="F33:AC33" si="4">E33*(1+(F39*$N$27))</f>
        <v>133.8624538748922</v>
      </c>
      <c r="G33" s="217">
        <f t="shared" si="4"/>
        <v>132.85848547083052</v>
      </c>
      <c r="H33" s="217">
        <f t="shared" si="4"/>
        <v>132.85848547083052</v>
      </c>
      <c r="I33" s="217">
        <f t="shared" si="4"/>
        <v>134.35314343237735</v>
      </c>
      <c r="J33" s="217">
        <f t="shared" si="4"/>
        <v>136.87226487173444</v>
      </c>
      <c r="K33" s="217">
        <f t="shared" si="4"/>
        <v>140.25985342730988</v>
      </c>
      <c r="L33" s="217">
        <f t="shared" si="4"/>
        <v>143.7312847996358</v>
      </c>
      <c r="M33" s="217">
        <f t="shared" si="4"/>
        <v>147.2886340984268</v>
      </c>
      <c r="N33" s="217">
        <f t="shared" si="4"/>
        <v>150.93402779236285</v>
      </c>
      <c r="O33" s="217">
        <f t="shared" si="4"/>
        <v>154.66964498022384</v>
      </c>
      <c r="P33" s="217">
        <f t="shared" si="4"/>
        <v>158.49771869348439</v>
      </c>
      <c r="Q33" s="217">
        <f t="shared" si="4"/>
        <v>161.82617078604756</v>
      </c>
      <c r="R33" s="217">
        <f t="shared" si="4"/>
        <v>165.22452037255454</v>
      </c>
      <c r="S33" s="217">
        <f t="shared" si="4"/>
        <v>168.69423530037815</v>
      </c>
      <c r="T33" s="217">
        <f t="shared" si="4"/>
        <v>172.23681424168609</v>
      </c>
      <c r="U33" s="217">
        <f t="shared" si="4"/>
        <v>175.85378734076147</v>
      </c>
      <c r="V33" s="217">
        <f t="shared" si="4"/>
        <v>179.54671687491745</v>
      </c>
      <c r="W33" s="217">
        <f t="shared" si="4"/>
        <v>183.3171979292907</v>
      </c>
      <c r="X33" s="217">
        <f t="shared" si="4"/>
        <v>187.16685908580578</v>
      </c>
      <c r="Y33" s="217">
        <f t="shared" si="4"/>
        <v>191.09736312660769</v>
      </c>
      <c r="Z33" s="217">
        <f t="shared" si="4"/>
        <v>195.11040775226644</v>
      </c>
      <c r="AA33" s="217">
        <f t="shared" si="4"/>
        <v>198.32972948017883</v>
      </c>
      <c r="AB33" s="217">
        <f t="shared" si="4"/>
        <v>201.60217001660178</v>
      </c>
      <c r="AC33" s="217">
        <f t="shared" si="4"/>
        <v>204.92860582187569</v>
      </c>
      <c r="AD33" s="3"/>
    </row>
    <row r="34" spans="2:30" s="2" customFormat="1" ht="30.75" thickBot="1" x14ac:dyDescent="0.3">
      <c r="B34" s="3"/>
      <c r="C34" s="216" t="s">
        <v>120</v>
      </c>
      <c r="D34" s="221">
        <f>D27</f>
        <v>521.23467021446106</v>
      </c>
      <c r="E34" s="217">
        <f>D34*(1+(E39*$N$27))</f>
        <v>534.52615430492983</v>
      </c>
      <c r="F34" s="217">
        <f t="shared" ref="F34:AC34" si="5">E34*(1+(F39*$N$27))</f>
        <v>522.90021044879757</v>
      </c>
      <c r="G34" s="217">
        <f t="shared" si="5"/>
        <v>518.97845887043161</v>
      </c>
      <c r="H34" s="217">
        <f t="shared" si="5"/>
        <v>518.97845887043161</v>
      </c>
      <c r="I34" s="217">
        <f t="shared" si="5"/>
        <v>524.816966532724</v>
      </c>
      <c r="J34" s="217">
        <f t="shared" si="5"/>
        <v>534.65728465521261</v>
      </c>
      <c r="K34" s="217">
        <f t="shared" si="5"/>
        <v>547.89005245042915</v>
      </c>
      <c r="L34" s="217">
        <f t="shared" si="5"/>
        <v>561.4503312485773</v>
      </c>
      <c r="M34" s="217">
        <f t="shared" si="5"/>
        <v>575.34622694697964</v>
      </c>
      <c r="N34" s="217">
        <f t="shared" si="5"/>
        <v>589.58604606391737</v>
      </c>
      <c r="O34" s="217">
        <f t="shared" si="5"/>
        <v>604.1783007039993</v>
      </c>
      <c r="P34" s="217">
        <f t="shared" si="5"/>
        <v>619.13171364642335</v>
      </c>
      <c r="Q34" s="217">
        <f t="shared" si="5"/>
        <v>632.13347963299816</v>
      </c>
      <c r="R34" s="217">
        <f t="shared" si="5"/>
        <v>645.40828270529107</v>
      </c>
      <c r="S34" s="217">
        <f t="shared" si="5"/>
        <v>658.96185664210213</v>
      </c>
      <c r="T34" s="217">
        <f t="shared" si="5"/>
        <v>672.80005563158625</v>
      </c>
      <c r="U34" s="217">
        <f t="shared" si="5"/>
        <v>686.92885679984954</v>
      </c>
      <c r="V34" s="217">
        <f t="shared" si="5"/>
        <v>701.35436279264627</v>
      </c>
      <c r="W34" s="217">
        <f t="shared" si="5"/>
        <v>716.08280441129182</v>
      </c>
      <c r="X34" s="217">
        <f t="shared" si="5"/>
        <v>731.12054330392891</v>
      </c>
      <c r="Y34" s="217">
        <f t="shared" si="5"/>
        <v>746.47407471331132</v>
      </c>
      <c r="Z34" s="217">
        <f t="shared" si="5"/>
        <v>762.1500302822908</v>
      </c>
      <c r="AA34" s="217">
        <f t="shared" si="5"/>
        <v>774.72550578194853</v>
      </c>
      <c r="AB34" s="217">
        <f t="shared" si="5"/>
        <v>787.50847662735066</v>
      </c>
      <c r="AC34" s="217">
        <f t="shared" si="5"/>
        <v>800.50236649170188</v>
      </c>
      <c r="AD34" s="3"/>
    </row>
    <row r="35" spans="2:30" s="2" customFormat="1" ht="5.65" customHeight="1" x14ac:dyDescent="0.2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2:30" s="2" customFormat="1" x14ac:dyDescent="0.25"/>
    <row r="37" spans="2:30" s="128" customFormat="1" ht="18.75" x14ac:dyDescent="0.3">
      <c r="C37" s="128" t="s">
        <v>85</v>
      </c>
      <c r="D37" s="128">
        <f>D31</f>
        <v>2018</v>
      </c>
      <c r="E37" s="128">
        <f t="shared" ref="E37:AD37" si="6">E31</f>
        <v>2019</v>
      </c>
      <c r="F37" s="128">
        <f t="shared" si="6"/>
        <v>2020</v>
      </c>
      <c r="G37" s="128">
        <f t="shared" si="6"/>
        <v>2021</v>
      </c>
      <c r="H37" s="128">
        <f t="shared" si="6"/>
        <v>2022</v>
      </c>
      <c r="I37" s="128">
        <f t="shared" si="6"/>
        <v>2023</v>
      </c>
      <c r="J37" s="128">
        <f t="shared" si="6"/>
        <v>2024</v>
      </c>
      <c r="K37" s="128">
        <f t="shared" si="6"/>
        <v>2025</v>
      </c>
      <c r="L37" s="128">
        <f t="shared" si="6"/>
        <v>2026</v>
      </c>
      <c r="M37" s="128">
        <f t="shared" si="6"/>
        <v>2027</v>
      </c>
      <c r="N37" s="128">
        <f t="shared" si="6"/>
        <v>2028</v>
      </c>
      <c r="O37" s="128">
        <f t="shared" si="6"/>
        <v>2029</v>
      </c>
      <c r="P37" s="128">
        <f t="shared" si="6"/>
        <v>2030</v>
      </c>
      <c r="Q37" s="128">
        <f t="shared" si="6"/>
        <v>2031</v>
      </c>
      <c r="R37" s="128">
        <f t="shared" si="6"/>
        <v>2032</v>
      </c>
      <c r="S37" s="128">
        <f t="shared" si="6"/>
        <v>2033</v>
      </c>
      <c r="T37" s="128">
        <f t="shared" si="6"/>
        <v>2034</v>
      </c>
      <c r="U37" s="128">
        <f t="shared" si="6"/>
        <v>2035</v>
      </c>
      <c r="V37" s="128">
        <f t="shared" si="6"/>
        <v>2036</v>
      </c>
      <c r="W37" s="128">
        <f t="shared" si="6"/>
        <v>2037</v>
      </c>
      <c r="X37" s="128">
        <f t="shared" si="6"/>
        <v>2038</v>
      </c>
      <c r="Y37" s="128">
        <f t="shared" si="6"/>
        <v>2039</v>
      </c>
      <c r="Z37" s="128">
        <f t="shared" si="6"/>
        <v>2040</v>
      </c>
      <c r="AA37" s="128">
        <f t="shared" si="6"/>
        <v>2041</v>
      </c>
      <c r="AB37" s="128">
        <f t="shared" si="6"/>
        <v>2042</v>
      </c>
      <c r="AC37" s="128">
        <f t="shared" si="6"/>
        <v>2043</v>
      </c>
      <c r="AD37" s="128">
        <f t="shared" si="6"/>
        <v>0</v>
      </c>
    </row>
    <row r="38" spans="2:30" s="128" customFormat="1" ht="3" customHeight="1" x14ac:dyDescent="0.3">
      <c r="B38" s="129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129"/>
      <c r="O38" s="129"/>
      <c r="P38" s="129"/>
      <c r="Q38" s="129"/>
      <c r="R38" s="129"/>
      <c r="S38" s="129"/>
      <c r="T38" s="129"/>
      <c r="U38" s="129"/>
      <c r="V38" s="129"/>
      <c r="W38" s="129"/>
      <c r="X38" s="129"/>
      <c r="Y38" s="129"/>
      <c r="Z38" s="129"/>
      <c r="AA38" s="129"/>
      <c r="AB38" s="129"/>
      <c r="AC38" s="129"/>
      <c r="AD38" s="129"/>
    </row>
    <row r="39" spans="2:30" s="2" customFormat="1" x14ac:dyDescent="0.25">
      <c r="B39" s="3"/>
      <c r="C39" s="107" t="str">
        <f>'Макро-индикатори'!B7</f>
        <v>ръст на БВП  (%)</v>
      </c>
      <c r="D39" s="218">
        <f>'Макро-индикатори'!G7/100</f>
        <v>3.1E-2</v>
      </c>
      <c r="E39" s="218">
        <f>'Макро-индикатори'!H7/100</f>
        <v>3.4000000000000002E-2</v>
      </c>
      <c r="F39" s="218">
        <f>'Макро-индикатори'!C22/100</f>
        <v>-2.8999999999999998E-2</v>
      </c>
      <c r="G39" s="218">
        <f>'Макро-индикатори'!D22/100</f>
        <v>-0.01</v>
      </c>
      <c r="H39" s="218">
        <f>'Макро-индикатори'!E22/100</f>
        <v>0</v>
      </c>
      <c r="I39" s="218">
        <f>'Макро-индикатори'!F22/100</f>
        <v>1.4999999999999999E-2</v>
      </c>
      <c r="J39" s="218">
        <f>'Макро-индикатори'!G22/100</f>
        <v>2.5000000000000001E-2</v>
      </c>
      <c r="K39" s="218">
        <f>'Макро-индикатори'!H22/100</f>
        <v>3.3000000000000002E-2</v>
      </c>
      <c r="L39" s="218">
        <f>'Макро-индикатори'!I22/100</f>
        <v>3.3000000000000002E-2</v>
      </c>
      <c r="M39" s="218">
        <f>'Макро-индикатори'!J22/100</f>
        <v>3.3000000000000002E-2</v>
      </c>
      <c r="N39" s="218">
        <f>'Макро-индикатори'!K22/100</f>
        <v>3.3000000000000002E-2</v>
      </c>
      <c r="O39" s="218">
        <f>'Макро-индикатори'!L22/100</f>
        <v>3.3000000000000002E-2</v>
      </c>
      <c r="P39" s="218">
        <f>'Макро-индикатори'!M22/100</f>
        <v>3.3000000000000002E-2</v>
      </c>
      <c r="Q39" s="219">
        <v>2.8000000000000001E-2</v>
      </c>
      <c r="R39" s="219">
        <v>2.8000000000000001E-2</v>
      </c>
      <c r="S39" s="219">
        <v>2.8000000000000001E-2</v>
      </c>
      <c r="T39" s="219">
        <v>2.8000000000000001E-2</v>
      </c>
      <c r="U39" s="219">
        <v>2.8000000000000001E-2</v>
      </c>
      <c r="V39" s="219">
        <v>2.8000000000000001E-2</v>
      </c>
      <c r="W39" s="219">
        <v>2.8000000000000001E-2</v>
      </c>
      <c r="X39" s="219">
        <v>2.8000000000000001E-2</v>
      </c>
      <c r="Y39" s="219">
        <v>2.8000000000000001E-2</v>
      </c>
      <c r="Z39" s="219">
        <v>2.8000000000000001E-2</v>
      </c>
      <c r="AA39" s="219">
        <v>2.1999999999999999E-2</v>
      </c>
      <c r="AB39" s="219">
        <v>2.1999999999999999E-2</v>
      </c>
      <c r="AC39" s="219">
        <v>2.1999999999999999E-2</v>
      </c>
      <c r="AD39" s="3"/>
    </row>
    <row r="40" spans="2:30" s="2" customFormat="1" x14ac:dyDescent="0.25">
      <c r="B40" s="3"/>
      <c r="C40" s="107" t="str">
        <f>'Макро-индикатори'!B11</f>
        <v>Годишна инфлация (%)</v>
      </c>
      <c r="D40" s="218">
        <f>'Макро-индикатори'!G11/100</f>
        <v>2.6000000000000002E-2</v>
      </c>
      <c r="E40" s="218">
        <f>'Макро-индикатори'!H11/100</f>
        <v>1.8000000000000002E-2</v>
      </c>
      <c r="F40" s="218">
        <f>'Макро-индикатори'!C26/100</f>
        <v>-1.4199999999999999E-2</v>
      </c>
      <c r="G40" s="218">
        <f>'Макро-индикатори'!D26/100</f>
        <v>-1E-3</v>
      </c>
      <c r="H40" s="218">
        <f>'Макро-индикатори'!E26/100</f>
        <v>-8.0000000000000002E-3</v>
      </c>
      <c r="I40" s="218">
        <f>'Макро-индикатори'!F26/100</f>
        <v>2.7999999999999997E-2</v>
      </c>
      <c r="J40" s="218">
        <f>'Макро-индикатори'!G26/100</f>
        <v>2.6000000000000002E-2</v>
      </c>
      <c r="K40" s="218">
        <f>'Макро-индикатори'!H26/100</f>
        <v>1.8000000000000002E-2</v>
      </c>
      <c r="L40" s="218">
        <f>'Макро-индикатори'!I26/100</f>
        <v>1.8000000000000002E-2</v>
      </c>
      <c r="M40" s="218">
        <f>'Макро-индикатори'!J26/100</f>
        <v>1.8000000000000002E-2</v>
      </c>
      <c r="N40" s="218">
        <f>'Макро-индикатори'!K26/100</f>
        <v>1.8000000000000002E-2</v>
      </c>
      <c r="O40" s="218">
        <f>'Макро-индикатори'!L26/100</f>
        <v>1.8000000000000002E-2</v>
      </c>
      <c r="P40" s="218">
        <f>'Макро-индикатори'!M26/100</f>
        <v>1.8000000000000002E-2</v>
      </c>
      <c r="Q40" s="219">
        <v>1.4999999999999999E-2</v>
      </c>
      <c r="R40" s="219">
        <v>1.4999999999999999E-2</v>
      </c>
      <c r="S40" s="219">
        <v>1.4999999999999999E-2</v>
      </c>
      <c r="T40" s="219">
        <v>1.4999999999999999E-2</v>
      </c>
      <c r="U40" s="219">
        <v>1.4999999999999999E-2</v>
      </c>
      <c r="V40" s="219">
        <v>1.4999999999999999E-2</v>
      </c>
      <c r="W40" s="219">
        <v>1.4999999999999999E-2</v>
      </c>
      <c r="X40" s="219">
        <v>1.4999999999999999E-2</v>
      </c>
      <c r="Y40" s="219">
        <v>1.4999999999999999E-2</v>
      </c>
      <c r="Z40" s="219">
        <v>1.4999999999999999E-2</v>
      </c>
      <c r="AA40" s="219">
        <v>1.4999999999999999E-2</v>
      </c>
      <c r="AB40" s="219">
        <v>1.4999999999999999E-2</v>
      </c>
      <c r="AC40" s="219">
        <v>1.4999999999999999E-2</v>
      </c>
      <c r="AD40" s="3"/>
    </row>
    <row r="41" spans="2:30" s="2" customFormat="1" x14ac:dyDescent="0.25">
      <c r="B41" s="3"/>
      <c r="C41" s="107" t="str">
        <f>'Макро-индикатори'!B8</f>
        <v>Безработица (%)</v>
      </c>
      <c r="D41" s="218">
        <f>'Макро-индикатори'!G8/100</f>
        <v>4.7E-2</v>
      </c>
      <c r="E41" s="218">
        <f>'Макро-индикатори'!H8/100</f>
        <v>3.9E-2</v>
      </c>
      <c r="F41" s="218">
        <f>'Макро-индикатори'!C23/100</f>
        <v>9.8000000000000004E-2</v>
      </c>
      <c r="G41" s="218">
        <f>'Макро-индикатори'!D23/100</f>
        <v>8.3000000000000004E-2</v>
      </c>
      <c r="H41" s="218">
        <f>'Макро-индикатори'!E23/100</f>
        <v>6.7000000000000004E-2</v>
      </c>
      <c r="I41" s="218">
        <f>'Макро-индикатори'!F23/100</f>
        <v>5.7000000000000002E-2</v>
      </c>
      <c r="J41" s="218">
        <f>'Макро-индикатори'!G23/100</f>
        <v>4.7E-2</v>
      </c>
      <c r="K41" s="218">
        <f>'Макро-индикатори'!H23/100</f>
        <v>0.04</v>
      </c>
      <c r="L41" s="218">
        <f>'Макро-индикатори'!I23/100</f>
        <v>0.04</v>
      </c>
      <c r="M41" s="218">
        <f>'Макро-индикатори'!J23/100</f>
        <v>0.04</v>
      </c>
      <c r="N41" s="218">
        <f>'Макро-индикатори'!K23/100</f>
        <v>0.04</v>
      </c>
      <c r="O41" s="218">
        <f>'Макро-индикатори'!L23/100</f>
        <v>0.04</v>
      </c>
      <c r="P41" s="218">
        <f>'Макро-индикатори'!M23/100</f>
        <v>0.04</v>
      </c>
      <c r="Q41" s="220">
        <f>P41</f>
        <v>0.04</v>
      </c>
      <c r="R41" s="220">
        <f t="shared" ref="R41:AC41" si="7">Q41</f>
        <v>0.04</v>
      </c>
      <c r="S41" s="220">
        <f t="shared" si="7"/>
        <v>0.04</v>
      </c>
      <c r="T41" s="220">
        <f t="shared" si="7"/>
        <v>0.04</v>
      </c>
      <c r="U41" s="220">
        <f t="shared" si="7"/>
        <v>0.04</v>
      </c>
      <c r="V41" s="220">
        <f t="shared" si="7"/>
        <v>0.04</v>
      </c>
      <c r="W41" s="220">
        <f t="shared" si="7"/>
        <v>0.04</v>
      </c>
      <c r="X41" s="220">
        <f t="shared" si="7"/>
        <v>0.04</v>
      </c>
      <c r="Y41" s="220">
        <f t="shared" si="7"/>
        <v>0.04</v>
      </c>
      <c r="Z41" s="220">
        <f t="shared" si="7"/>
        <v>0.04</v>
      </c>
      <c r="AA41" s="220">
        <f t="shared" si="7"/>
        <v>0.04</v>
      </c>
      <c r="AB41" s="220">
        <f t="shared" si="7"/>
        <v>0.04</v>
      </c>
      <c r="AC41" s="220">
        <f t="shared" si="7"/>
        <v>0.04</v>
      </c>
      <c r="AD41" s="3"/>
    </row>
    <row r="42" spans="2:30" s="2" customFormat="1" ht="5.0999999999999996" customHeight="1" x14ac:dyDescent="0.2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2:30" s="2" customFormat="1" x14ac:dyDescent="0.25"/>
    <row r="44" spans="2:30" s="2" customFormat="1" x14ac:dyDescent="0.25"/>
    <row r="45" spans="2:30" s="2" customFormat="1" x14ac:dyDescent="0.25"/>
    <row r="46" spans="2:30" s="2" customFormat="1" x14ac:dyDescent="0.25"/>
    <row r="47" spans="2:30" s="2" customFormat="1" x14ac:dyDescent="0.25"/>
    <row r="48" spans="2:30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</sheetData>
  <mergeCells count="3">
    <mergeCell ref="C4:M5"/>
    <mergeCell ref="C6:M6"/>
    <mergeCell ref="K27:M27"/>
  </mergeCells>
  <pageMargins left="0.19685039370078741" right="0.19685039370078741" top="0.98425196850393704" bottom="0.78740157480314965" header="0.19685039370078741" footer="0.19685039370078741"/>
  <pageSetup paperSize="8" scale="74" orientation="landscape" r:id="rId1"/>
  <headerFooter>
    <oddHeader>&amp;C&amp;G</oddHeader>
    <oddFooter>&amp;C&amp;G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90"/>
  <sheetViews>
    <sheetView topLeftCell="A14" zoomScaleNormal="100" workbookViewId="0">
      <selection activeCell="L48" sqref="L48"/>
    </sheetView>
  </sheetViews>
  <sheetFormatPr defaultRowHeight="15" x14ac:dyDescent="0.25"/>
  <cols>
    <col min="1" max="1" width="9.28515625" style="2"/>
    <col min="2" max="2" width="0.7109375" customWidth="1"/>
    <col min="3" max="3" width="31.5703125" customWidth="1"/>
    <col min="4" max="4" width="9.42578125" customWidth="1"/>
    <col min="5" max="6" width="11.28515625" customWidth="1"/>
    <col min="7" max="7" width="11.140625" customWidth="1"/>
    <col min="8" max="8" width="0.42578125" hidden="1" customWidth="1"/>
    <col min="9" max="9" width="9.85546875" hidden="1" customWidth="1"/>
    <col min="10" max="29" width="11.28515625" style="2" bestFit="1" customWidth="1"/>
    <col min="30" max="30" width="0.5703125" style="2" customWidth="1"/>
    <col min="31" max="48" width="9.28515625" style="2"/>
  </cols>
  <sheetData>
    <row r="1" spans="2:13" s="2" customFormat="1" x14ac:dyDescent="0.25"/>
    <row r="2" spans="2:13" s="2" customFormat="1" ht="18.75" x14ac:dyDescent="0.3">
      <c r="C2" s="128" t="s">
        <v>101</v>
      </c>
    </row>
    <row r="3" spans="2:13" s="2" customFormat="1" ht="15.75" thickBot="1" x14ac:dyDescent="0.3"/>
    <row r="4" spans="2:13" s="2" customFormat="1" ht="14.65" customHeight="1" x14ac:dyDescent="0.25">
      <c r="C4" s="256" t="str">
        <f>'Финансов анализ'!D4</f>
        <v>Проект: Доставка, монтаж и въвеждане в експлоатация на  пристанищни приемни съоръжения (ППС) в българските пристанища за обществен транспорт с национално значение</v>
      </c>
      <c r="D4" s="257"/>
      <c r="E4" s="257"/>
      <c r="F4" s="257"/>
      <c r="G4" s="258"/>
      <c r="H4" s="204"/>
      <c r="I4" s="204"/>
      <c r="J4" s="204"/>
      <c r="K4" s="204"/>
      <c r="L4" s="204"/>
      <c r="M4" s="204"/>
    </row>
    <row r="5" spans="2:13" s="2" customFormat="1" ht="30" customHeight="1" thickBot="1" x14ac:dyDescent="0.3">
      <c r="C5" s="303"/>
      <c r="D5" s="304"/>
      <c r="E5" s="304"/>
      <c r="F5" s="304"/>
      <c r="G5" s="305"/>
      <c r="H5" s="204"/>
      <c r="I5" s="204"/>
      <c r="J5" s="204"/>
      <c r="K5" s="204"/>
      <c r="L5" s="204"/>
      <c r="M5" s="204"/>
    </row>
    <row r="6" spans="2:13" s="2" customFormat="1" ht="17.100000000000001" customHeight="1" thickBot="1" x14ac:dyDescent="0.3">
      <c r="C6" s="337" t="str">
        <f>'Приходи-допускания'!C6:M6</f>
        <v>Държавно предприятие Пристанищна инфраструктура</v>
      </c>
      <c r="D6" s="338"/>
      <c r="E6" s="338"/>
      <c r="F6" s="338"/>
      <c r="G6" s="339"/>
      <c r="H6" s="204"/>
      <c r="I6" s="204"/>
      <c r="J6" s="204"/>
      <c r="K6" s="204"/>
      <c r="L6" s="204"/>
      <c r="M6" s="204"/>
    </row>
    <row r="7" spans="2:13" s="2" customFormat="1" x14ac:dyDescent="0.25">
      <c r="C7" s="158"/>
      <c r="D7" s="158"/>
      <c r="E7" s="158"/>
      <c r="F7" s="158"/>
    </row>
    <row r="8" spans="2:13" s="2" customFormat="1" ht="18.75" x14ac:dyDescent="0.3">
      <c r="B8" s="128" t="s">
        <v>55</v>
      </c>
    </row>
    <row r="9" spans="2:13" s="2" customFormat="1" ht="4.3499999999999996" customHeight="1" thickBot="1" x14ac:dyDescent="0.3">
      <c r="B9" s="3"/>
      <c r="C9" s="3"/>
      <c r="D9" s="3"/>
      <c r="E9" s="3"/>
      <c r="F9" s="3"/>
      <c r="G9" s="3"/>
      <c r="H9" s="3"/>
      <c r="I9" s="3"/>
    </row>
    <row r="10" spans="2:13" s="2" customFormat="1" ht="39.950000000000003" customHeight="1" x14ac:dyDescent="0.25">
      <c r="B10" s="3"/>
      <c r="C10" s="130" t="s">
        <v>34</v>
      </c>
      <c r="D10" s="131">
        <v>2018</v>
      </c>
      <c r="E10" s="131">
        <v>2017</v>
      </c>
      <c r="F10" s="131">
        <v>2016</v>
      </c>
      <c r="G10" s="132" t="s">
        <v>35</v>
      </c>
      <c r="H10" s="159" t="s">
        <v>56</v>
      </c>
      <c r="I10" s="134" t="s">
        <v>57</v>
      </c>
    </row>
    <row r="11" spans="2:13" s="2" customFormat="1" ht="12.95" customHeight="1" x14ac:dyDescent="0.25">
      <c r="B11" s="3"/>
      <c r="C11" s="135" t="s">
        <v>58</v>
      </c>
      <c r="D11" s="24">
        <v>1156</v>
      </c>
      <c r="E11" s="24">
        <v>1095</v>
      </c>
      <c r="F11" s="24">
        <v>1027</v>
      </c>
      <c r="G11" s="19">
        <f>AVERAGE(D11:F11)</f>
        <v>1092.6666666666667</v>
      </c>
      <c r="H11" s="138">
        <f>G11/$G$21</f>
        <v>2.5559852785228623E-2</v>
      </c>
      <c r="I11" s="145">
        <f>G11/$G$18</f>
        <v>0.11555680896816725</v>
      </c>
    </row>
    <row r="12" spans="2:13" s="2" customFormat="1" hidden="1" x14ac:dyDescent="0.25">
      <c r="B12" s="3"/>
      <c r="C12" s="139" t="s">
        <v>59</v>
      </c>
      <c r="D12" s="140">
        <f>(D11-E11)/E11</f>
        <v>5.5707762557077628E-2</v>
      </c>
      <c r="E12" s="140">
        <f>(E11-F11)/F11</f>
        <v>6.621226874391431E-2</v>
      </c>
      <c r="F12" s="141">
        <f>(F11-1221)/1221</f>
        <v>-0.1588861588861589</v>
      </c>
      <c r="G12" s="142">
        <f>AVERAGE(D12:F12)</f>
        <v>-1.2322042528388985E-2</v>
      </c>
      <c r="H12" s="138"/>
      <c r="I12" s="144">
        <f>G13/G11</f>
        <v>0.49694935936546669</v>
      </c>
      <c r="J12" s="2" t="s">
        <v>60</v>
      </c>
    </row>
    <row r="13" spans="2:13" s="2" customFormat="1" hidden="1" x14ac:dyDescent="0.25">
      <c r="B13" s="3"/>
      <c r="C13" s="135" t="s">
        <v>61</v>
      </c>
      <c r="D13" s="16">
        <v>528</v>
      </c>
      <c r="E13" s="16">
        <v>564</v>
      </c>
      <c r="F13" s="16">
        <v>537</v>
      </c>
      <c r="G13" s="19">
        <f t="shared" ref="G13:G24" si="0">AVERAGE(D13:F13)</f>
        <v>543</v>
      </c>
      <c r="H13" s="138">
        <f>G13/$G$21</f>
        <v>1.2701952467095004E-2</v>
      </c>
      <c r="I13" s="145">
        <f>G13/$G$18</f>
        <v>5.7425882187048333E-2</v>
      </c>
    </row>
    <row r="14" spans="2:13" s="2" customFormat="1" x14ac:dyDescent="0.25">
      <c r="B14" s="3"/>
      <c r="C14" s="135" t="s">
        <v>62</v>
      </c>
      <c r="D14" s="16">
        <v>5337</v>
      </c>
      <c r="E14" s="16">
        <v>5835</v>
      </c>
      <c r="F14" s="16">
        <v>6512</v>
      </c>
      <c r="G14" s="19">
        <f t="shared" si="0"/>
        <v>5894.666666666667</v>
      </c>
      <c r="H14" s="138">
        <f>G14/$G$21</f>
        <v>0.13788908988834137</v>
      </c>
      <c r="I14" s="145">
        <f>G14/$G$18</f>
        <v>0.62340043007720247</v>
      </c>
    </row>
    <row r="15" spans="2:13" s="2" customFormat="1" ht="12.95" customHeight="1" x14ac:dyDescent="0.25">
      <c r="B15" s="3"/>
      <c r="C15" s="135" t="s">
        <v>63</v>
      </c>
      <c r="D15" s="16">
        <v>1456</v>
      </c>
      <c r="E15" s="16">
        <v>1367</v>
      </c>
      <c r="F15" s="16">
        <v>1489.9</v>
      </c>
      <c r="G15" s="19">
        <f t="shared" si="0"/>
        <v>1437.6333333333332</v>
      </c>
      <c r="H15" s="138">
        <f>G15/$G$21</f>
        <v>3.3629374337221636E-2</v>
      </c>
      <c r="I15" s="145">
        <f>G15/$G$18</f>
        <v>0.15203934148834913</v>
      </c>
      <c r="J15" s="2">
        <f>G15*1000</f>
        <v>1437633.3333333333</v>
      </c>
    </row>
    <row r="16" spans="2:13" s="2" customFormat="1" ht="30" hidden="1" x14ac:dyDescent="0.25">
      <c r="B16" s="3"/>
      <c r="C16" s="30" t="s">
        <v>64</v>
      </c>
      <c r="D16" s="140">
        <f>(D15-E15)/E15</f>
        <v>6.5106071689831749E-2</v>
      </c>
      <c r="E16" s="140">
        <f>(E15-1307)/1307</f>
        <v>4.5906656465187455E-2</v>
      </c>
      <c r="F16" s="141"/>
      <c r="G16" s="142">
        <f>AVERAGE(D16:F16)</f>
        <v>5.5506364077509598E-2</v>
      </c>
      <c r="H16" s="138"/>
      <c r="I16" s="16"/>
    </row>
    <row r="17" spans="1:48" s="2" customFormat="1" x14ac:dyDescent="0.25">
      <c r="B17" s="3"/>
      <c r="C17" s="135" t="s">
        <v>65</v>
      </c>
      <c r="D17" s="16">
        <v>27186</v>
      </c>
      <c r="E17" s="16">
        <v>26334</v>
      </c>
      <c r="F17" s="16">
        <v>22525</v>
      </c>
      <c r="G17" s="19">
        <f t="shared" si="0"/>
        <v>25348.333333333332</v>
      </c>
      <c r="H17" s="138">
        <f>G17/$G$21</f>
        <v>0.59295271661156512</v>
      </c>
      <c r="I17" s="145">
        <f>G17/$G$18</f>
        <v>2.6807558078048439</v>
      </c>
    </row>
    <row r="18" spans="1:48" s="2" customFormat="1" x14ac:dyDescent="0.25">
      <c r="B18" s="3"/>
      <c r="C18" s="31" t="s">
        <v>66</v>
      </c>
      <c r="D18" s="16">
        <v>10145</v>
      </c>
      <c r="E18" s="16">
        <v>9416</v>
      </c>
      <c r="F18" s="16">
        <v>8806</v>
      </c>
      <c r="G18" s="19">
        <f t="shared" si="0"/>
        <v>9455.6666666666661</v>
      </c>
      <c r="H18" s="138">
        <f>G18/$G$21</f>
        <v>0.22118863452061632</v>
      </c>
      <c r="I18" s="145"/>
    </row>
    <row r="19" spans="1:48" hidden="1" x14ac:dyDescent="0.25">
      <c r="B19" s="3"/>
      <c r="C19" s="30" t="s">
        <v>67</v>
      </c>
      <c r="D19" s="140">
        <f>(D18-E18)/E18</f>
        <v>7.7421410365335605E-2</v>
      </c>
      <c r="E19" s="140">
        <f>(E18-F18)/F18</f>
        <v>6.9270951623892796E-2</v>
      </c>
      <c r="F19" s="141">
        <f>(F18-7320)/7320</f>
        <v>0.20300546448087431</v>
      </c>
      <c r="G19" s="142">
        <f>AVERAGE(D19:F19)</f>
        <v>0.11656594215670091</v>
      </c>
      <c r="H19" s="138"/>
      <c r="I19" s="16"/>
    </row>
    <row r="20" spans="1:48" x14ac:dyDescent="0.25">
      <c r="B20" s="3"/>
      <c r="C20" s="135" t="s">
        <v>68</v>
      </c>
      <c r="D20" s="16">
        <v>610</v>
      </c>
      <c r="E20" s="16">
        <v>604</v>
      </c>
      <c r="F20" s="16">
        <v>1660</v>
      </c>
      <c r="G20" s="19">
        <f t="shared" si="0"/>
        <v>958</v>
      </c>
      <c r="H20" s="138">
        <f>G20/$G$21</f>
        <v>2.2409706194248646E-2</v>
      </c>
      <c r="I20" s="145">
        <f>G20/$G$18</f>
        <v>0.10131490816794163</v>
      </c>
    </row>
    <row r="21" spans="1:48" ht="10.7" customHeight="1" x14ac:dyDescent="0.25">
      <c r="B21" s="3"/>
      <c r="C21" s="135" t="s">
        <v>69</v>
      </c>
      <c r="D21" s="18">
        <f>D11+D14+D17+D18+D20</f>
        <v>44434</v>
      </c>
      <c r="E21" s="18">
        <f t="shared" ref="E21:G21" si="1">E11+E14+E17+E18+E20</f>
        <v>43284</v>
      </c>
      <c r="F21" s="18">
        <f t="shared" si="1"/>
        <v>40530</v>
      </c>
      <c r="G21" s="19">
        <f t="shared" si="1"/>
        <v>42749.333333333328</v>
      </c>
      <c r="H21" s="146"/>
      <c r="I21" s="16"/>
    </row>
    <row r="22" spans="1:48" ht="15" hidden="1" customHeight="1" x14ac:dyDescent="0.25">
      <c r="B22" s="3"/>
      <c r="C22" s="135"/>
      <c r="D22" s="160">
        <f>(D21-E21)/E21</f>
        <v>2.6568708991775252E-2</v>
      </c>
      <c r="E22" s="160">
        <f t="shared" ref="E22" si="2">(E21-F21)/F21</f>
        <v>6.7949666913397488E-2</v>
      </c>
      <c r="F22" s="160">
        <f>(F21-44497)/44497</f>
        <v>-8.9152077668157401E-2</v>
      </c>
      <c r="G22" s="142">
        <f>AVERAGE(D22:F22)</f>
        <v>1.7887660790051145E-3</v>
      </c>
      <c r="H22" s="24"/>
      <c r="I22" s="24"/>
    </row>
    <row r="23" spans="1:48" x14ac:dyDescent="0.25">
      <c r="B23" s="3"/>
      <c r="C23" s="135" t="s">
        <v>70</v>
      </c>
      <c r="D23" s="161">
        <v>2167</v>
      </c>
      <c r="E23" s="16">
        <v>2378</v>
      </c>
      <c r="F23" s="161">
        <v>2774</v>
      </c>
      <c r="G23" s="19">
        <f t="shared" si="0"/>
        <v>2439.6666666666665</v>
      </c>
      <c r="H23" s="2"/>
      <c r="I23" s="2"/>
    </row>
    <row r="24" spans="1:48" ht="15.75" thickBot="1" x14ac:dyDescent="0.3">
      <c r="B24" s="3"/>
      <c r="C24" s="162" t="s">
        <v>71</v>
      </c>
      <c r="D24" s="163">
        <v>12013</v>
      </c>
      <c r="E24" s="164">
        <v>4613</v>
      </c>
      <c r="F24" s="163">
        <v>23694</v>
      </c>
      <c r="G24" s="165">
        <f t="shared" si="0"/>
        <v>13440</v>
      </c>
      <c r="H24" s="2"/>
      <c r="I24" s="2"/>
    </row>
    <row r="25" spans="1:48" ht="5.65" customHeight="1" x14ac:dyDescent="0.25">
      <c r="B25" s="3"/>
      <c r="C25" s="43"/>
      <c r="D25" s="43"/>
      <c r="E25" s="43"/>
      <c r="F25" s="43"/>
      <c r="G25" s="166"/>
      <c r="H25" s="3"/>
      <c r="I25" s="3"/>
    </row>
    <row r="26" spans="1:48" ht="25.35" customHeight="1" x14ac:dyDescent="0.3">
      <c r="B26" s="2"/>
      <c r="C26" s="39"/>
      <c r="D26" s="223" t="s">
        <v>52</v>
      </c>
      <c r="E26" s="223" t="s">
        <v>102</v>
      </c>
      <c r="F26" s="39"/>
      <c r="G26" s="167"/>
      <c r="H26" s="2"/>
      <c r="I26" s="2"/>
    </row>
    <row r="27" spans="1:48" ht="4.7" customHeight="1" thickBot="1" x14ac:dyDescent="0.3">
      <c r="B27" s="3"/>
      <c r="C27" s="3"/>
      <c r="D27" s="127"/>
      <c r="E27" s="127"/>
      <c r="F27" s="39"/>
      <c r="G27" s="39"/>
      <c r="H27" s="2"/>
      <c r="I27" s="2"/>
    </row>
    <row r="28" spans="1:48" ht="29.1" customHeight="1" thickBot="1" x14ac:dyDescent="0.3">
      <c r="B28" s="3"/>
      <c r="C28" s="168" t="s">
        <v>72</v>
      </c>
      <c r="D28" s="169">
        <f>G15*1000/('Прогноза -отпадъци'!E10+'Прогноза -отпадъци'!E16)</f>
        <v>521.2225850145951</v>
      </c>
      <c r="E28" s="157">
        <f>C46</f>
        <v>133.41102432723343</v>
      </c>
      <c r="F28" s="39"/>
      <c r="G28" s="150"/>
      <c r="H28" s="2"/>
      <c r="I28" s="2"/>
    </row>
    <row r="29" spans="1:48" ht="5.65" customHeight="1" x14ac:dyDescent="0.25">
      <c r="B29" s="3"/>
      <c r="C29" s="153"/>
      <c r="D29" s="43"/>
      <c r="E29" s="43"/>
      <c r="F29" s="39"/>
      <c r="G29" s="150"/>
      <c r="H29" s="2"/>
      <c r="I29" s="2"/>
    </row>
    <row r="30" spans="1:48" s="2" customFormat="1" ht="29.1" customHeight="1" x14ac:dyDescent="0.25">
      <c r="C30" s="152"/>
      <c r="D30" s="39"/>
      <c r="E30" s="39"/>
      <c r="F30" s="39"/>
      <c r="G30" s="150"/>
    </row>
    <row r="31" spans="1:48" s="107" customFormat="1" ht="3.4" customHeight="1" thickBot="1" x14ac:dyDescent="0.3">
      <c r="A31" s="39"/>
      <c r="B31" s="43"/>
      <c r="C31" s="153"/>
      <c r="D31" s="43"/>
      <c r="E31" s="43"/>
      <c r="F31" s="43"/>
      <c r="G31" s="154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</row>
    <row r="32" spans="1:48" x14ac:dyDescent="0.25">
      <c r="B32" s="3"/>
      <c r="C32" s="170" t="s">
        <v>73</v>
      </c>
      <c r="D32" s="8">
        <f>D10</f>
        <v>2018</v>
      </c>
      <c r="E32" s="8">
        <f>D32+1</f>
        <v>2019</v>
      </c>
      <c r="F32" s="8">
        <f t="shared" ref="F32:AC32" si="3">E32+1</f>
        <v>2020</v>
      </c>
      <c r="G32" s="8">
        <f t="shared" si="3"/>
        <v>2021</v>
      </c>
      <c r="H32" s="8">
        <f t="shared" si="3"/>
        <v>2022</v>
      </c>
      <c r="I32" s="8">
        <f t="shared" si="3"/>
        <v>2023</v>
      </c>
      <c r="J32" s="155">
        <f t="shared" si="3"/>
        <v>2024</v>
      </c>
      <c r="K32" s="155">
        <f t="shared" si="3"/>
        <v>2025</v>
      </c>
      <c r="L32" s="155">
        <f t="shared" si="3"/>
        <v>2026</v>
      </c>
      <c r="M32" s="155">
        <f t="shared" si="3"/>
        <v>2027</v>
      </c>
      <c r="N32" s="155">
        <f t="shared" si="3"/>
        <v>2028</v>
      </c>
      <c r="O32" s="155">
        <f t="shared" si="3"/>
        <v>2029</v>
      </c>
      <c r="P32" s="155">
        <f t="shared" si="3"/>
        <v>2030</v>
      </c>
      <c r="Q32" s="155">
        <f t="shared" si="3"/>
        <v>2031</v>
      </c>
      <c r="R32" s="155">
        <f t="shared" si="3"/>
        <v>2032</v>
      </c>
      <c r="S32" s="155">
        <f t="shared" si="3"/>
        <v>2033</v>
      </c>
      <c r="T32" s="155">
        <f t="shared" si="3"/>
        <v>2034</v>
      </c>
      <c r="U32" s="155">
        <f t="shared" si="3"/>
        <v>2035</v>
      </c>
      <c r="V32" s="155">
        <f t="shared" si="3"/>
        <v>2036</v>
      </c>
      <c r="W32" s="155">
        <f t="shared" si="3"/>
        <v>2037</v>
      </c>
      <c r="X32" s="155">
        <f t="shared" si="3"/>
        <v>2038</v>
      </c>
      <c r="Y32" s="155">
        <f t="shared" si="3"/>
        <v>2039</v>
      </c>
      <c r="Z32" s="155">
        <f t="shared" si="3"/>
        <v>2040</v>
      </c>
      <c r="AA32" s="155">
        <f t="shared" si="3"/>
        <v>2041</v>
      </c>
      <c r="AB32" s="155">
        <f t="shared" si="3"/>
        <v>2042</v>
      </c>
      <c r="AC32" s="156">
        <f t="shared" si="3"/>
        <v>2043</v>
      </c>
      <c r="AD32" s="3"/>
    </row>
    <row r="33" spans="2:30" ht="30" x14ac:dyDescent="0.25">
      <c r="B33" s="3"/>
      <c r="C33" s="31" t="s">
        <v>123</v>
      </c>
      <c r="D33" s="171">
        <f>E28</f>
        <v>133.41102432723343</v>
      </c>
      <c r="E33" s="172">
        <f>D33*(1+($N$38*E61))</f>
        <v>136.81300544757789</v>
      </c>
      <c r="F33" s="172">
        <f t="shared" ref="F33:AC33" si="4">E33*(1+($N$38*F61))</f>
        <v>133.83732257909307</v>
      </c>
      <c r="G33" s="172">
        <f t="shared" si="4"/>
        <v>132.83354265974987</v>
      </c>
      <c r="H33" s="172">
        <f t="shared" si="4"/>
        <v>132.83354265974987</v>
      </c>
      <c r="I33" s="172">
        <f t="shared" si="4"/>
        <v>134.32792001467206</v>
      </c>
      <c r="J33" s="172">
        <f t="shared" si="4"/>
        <v>136.84656851494717</v>
      </c>
      <c r="K33" s="172">
        <f t="shared" si="4"/>
        <v>140.2335210856921</v>
      </c>
      <c r="L33" s="172">
        <f t="shared" si="4"/>
        <v>143.70430073256298</v>
      </c>
      <c r="M33" s="172">
        <f t="shared" si="4"/>
        <v>147.26098217569393</v>
      </c>
      <c r="N33" s="172">
        <f t="shared" si="4"/>
        <v>150.90569148454236</v>
      </c>
      <c r="O33" s="172">
        <f t="shared" si="4"/>
        <v>154.64060734878478</v>
      </c>
      <c r="P33" s="172">
        <f t="shared" si="4"/>
        <v>158.46796238066722</v>
      </c>
      <c r="Q33" s="172">
        <f t="shared" si="4"/>
        <v>161.7957895906612</v>
      </c>
      <c r="R33" s="172">
        <f t="shared" si="4"/>
        <v>165.19350117206508</v>
      </c>
      <c r="S33" s="172">
        <f t="shared" si="4"/>
        <v>168.66256469667843</v>
      </c>
      <c r="T33" s="172">
        <f t="shared" si="4"/>
        <v>172.20447855530867</v>
      </c>
      <c r="U33" s="172">
        <f t="shared" si="4"/>
        <v>175.82077260497013</v>
      </c>
      <c r="V33" s="172">
        <f t="shared" si="4"/>
        <v>179.51300882967448</v>
      </c>
      <c r="W33" s="172">
        <f t="shared" si="4"/>
        <v>183.28278201509761</v>
      </c>
      <c r="X33" s="172">
        <f t="shared" si="4"/>
        <v>187.13172043741463</v>
      </c>
      <c r="Y33" s="172">
        <f t="shared" si="4"/>
        <v>191.06148656660031</v>
      </c>
      <c r="Z33" s="172">
        <f t="shared" si="4"/>
        <v>195.0737777844989</v>
      </c>
      <c r="AA33" s="172">
        <f t="shared" si="4"/>
        <v>198.29249511794313</v>
      </c>
      <c r="AB33" s="172">
        <f t="shared" si="4"/>
        <v>201.56432128738919</v>
      </c>
      <c r="AC33" s="172">
        <f t="shared" si="4"/>
        <v>204.8901325886311</v>
      </c>
      <c r="AD33" s="173"/>
    </row>
    <row r="34" spans="2:30" s="2" customFormat="1" ht="30.75" thickBot="1" x14ac:dyDescent="0.3">
      <c r="B34" s="3"/>
      <c r="C34" s="31" t="s">
        <v>124</v>
      </c>
      <c r="D34" s="174">
        <f>D28</f>
        <v>521.2225850145951</v>
      </c>
      <c r="E34" s="172">
        <f>D34*(1+($N$38*E61))</f>
        <v>534.51376093246733</v>
      </c>
      <c r="F34" s="172">
        <f>E34*(1+($N$38*F61))</f>
        <v>522.88808663218617</v>
      </c>
      <c r="G34" s="172">
        <f t="shared" ref="G34:AC34" si="5">F34*(1+($N$38*G61))</f>
        <v>518.96642598244478</v>
      </c>
      <c r="H34" s="172">
        <f t="shared" si="5"/>
        <v>518.96642598244478</v>
      </c>
      <c r="I34" s="172">
        <f t="shared" si="5"/>
        <v>524.80479827474721</v>
      </c>
      <c r="J34" s="172">
        <f t="shared" si="5"/>
        <v>534.64488824239879</v>
      </c>
      <c r="K34" s="172">
        <f t="shared" si="5"/>
        <v>547.87734922639822</v>
      </c>
      <c r="L34" s="172">
        <f t="shared" si="5"/>
        <v>561.43731361975165</v>
      </c>
      <c r="M34" s="172">
        <f t="shared" si="5"/>
        <v>575.33288713184049</v>
      </c>
      <c r="N34" s="172">
        <f t="shared" si="5"/>
        <v>589.57237608835362</v>
      </c>
      <c r="O34" s="172">
        <f t="shared" si="5"/>
        <v>604.16429239654042</v>
      </c>
      <c r="P34" s="172">
        <f t="shared" si="5"/>
        <v>619.1173586333548</v>
      </c>
      <c r="Q34" s="172">
        <f t="shared" si="5"/>
        <v>632.11882316465517</v>
      </c>
      <c r="R34" s="172">
        <f t="shared" si="5"/>
        <v>645.39331845111292</v>
      </c>
      <c r="S34" s="172">
        <f t="shared" si="5"/>
        <v>658.94657813858623</v>
      </c>
      <c r="T34" s="172">
        <f t="shared" si="5"/>
        <v>672.78445627949645</v>
      </c>
      <c r="U34" s="172">
        <f t="shared" si="5"/>
        <v>686.9129298613658</v>
      </c>
      <c r="V34" s="172">
        <f t="shared" si="5"/>
        <v>701.33810138845445</v>
      </c>
      <c r="W34" s="172">
        <f t="shared" si="5"/>
        <v>716.06620151761194</v>
      </c>
      <c r="X34" s="172">
        <f t="shared" si="5"/>
        <v>731.10359174948178</v>
      </c>
      <c r="Y34" s="172">
        <f t="shared" si="5"/>
        <v>746.45676717622086</v>
      </c>
      <c r="Z34" s="172">
        <f t="shared" si="5"/>
        <v>762.13235928692143</v>
      </c>
      <c r="AA34" s="172">
        <f t="shared" si="5"/>
        <v>774.70754321515562</v>
      </c>
      <c r="AB34" s="172">
        <f t="shared" si="5"/>
        <v>787.49021767820568</v>
      </c>
      <c r="AC34" s="172">
        <f t="shared" si="5"/>
        <v>800.48380626989604</v>
      </c>
      <c r="AD34" s="175"/>
    </row>
    <row r="35" spans="2:30" s="2" customFormat="1" ht="5.0999999999999996" customHeight="1" x14ac:dyDescent="0.25">
      <c r="B35" s="3"/>
      <c r="C35" s="153"/>
      <c r="D35" s="176"/>
      <c r="E35" s="176"/>
      <c r="F35" s="176"/>
      <c r="G35" s="176"/>
      <c r="H35" s="176"/>
      <c r="I35" s="176"/>
      <c r="J35" s="176"/>
      <c r="K35" s="176"/>
      <c r="L35" s="176"/>
      <c r="M35" s="176"/>
      <c r="N35" s="176"/>
      <c r="O35" s="176"/>
      <c r="P35" s="176"/>
      <c r="Q35" s="176"/>
      <c r="R35" s="176"/>
      <c r="S35" s="176"/>
      <c r="T35" s="176"/>
      <c r="U35" s="176"/>
      <c r="V35" s="176"/>
      <c r="W35" s="176"/>
      <c r="X35" s="176"/>
      <c r="Y35" s="176"/>
      <c r="Z35" s="176"/>
      <c r="AA35" s="176"/>
      <c r="AB35" s="176"/>
      <c r="AC35" s="176"/>
      <c r="AD35" s="177"/>
    </row>
    <row r="36" spans="2:30" s="2" customFormat="1" ht="25.9" customHeight="1" x14ac:dyDescent="0.25">
      <c r="C36" s="152"/>
      <c r="D36" s="178"/>
      <c r="E36" s="178"/>
      <c r="F36" s="178"/>
      <c r="G36" s="178"/>
      <c r="H36" s="178"/>
      <c r="I36" s="178"/>
      <c r="J36" s="178"/>
      <c r="K36" s="178"/>
      <c r="L36" s="178"/>
      <c r="M36" s="178"/>
      <c r="N36" s="178"/>
      <c r="O36" s="178"/>
      <c r="P36" s="178"/>
      <c r="Q36" s="178"/>
      <c r="R36" s="178"/>
      <c r="S36" s="178"/>
      <c r="T36" s="178"/>
      <c r="U36" s="178"/>
      <c r="V36" s="178"/>
      <c r="W36" s="178"/>
      <c r="X36" s="178"/>
      <c r="Y36" s="178"/>
      <c r="Z36" s="178"/>
      <c r="AA36" s="178"/>
      <c r="AB36" s="178"/>
      <c r="AC36" s="178"/>
      <c r="AD36" s="179"/>
    </row>
    <row r="37" spans="2:30" s="2" customFormat="1" ht="4.7" customHeight="1" thickBot="1" x14ac:dyDescent="0.3">
      <c r="B37" s="3"/>
      <c r="C37" s="3"/>
      <c r="D37" s="3"/>
      <c r="E37" s="3"/>
      <c r="F37" s="3"/>
      <c r="G37" s="3"/>
      <c r="K37" s="3"/>
      <c r="L37" s="3"/>
      <c r="M37" s="3"/>
      <c r="N37" s="3"/>
    </row>
    <row r="38" spans="2:30" s="2" customFormat="1" x14ac:dyDescent="0.25">
      <c r="B38" s="3"/>
      <c r="C38" s="180" t="s">
        <v>103</v>
      </c>
      <c r="D38" s="226"/>
      <c r="E38" s="328" t="s">
        <v>127</v>
      </c>
      <c r="F38" s="329"/>
      <c r="G38" s="330"/>
      <c r="K38" s="309" t="s">
        <v>119</v>
      </c>
      <c r="L38" s="309"/>
      <c r="M38" s="309"/>
      <c r="N38" s="227">
        <v>0.75</v>
      </c>
    </row>
    <row r="39" spans="2:30" s="2" customFormat="1" x14ac:dyDescent="0.25">
      <c r="B39" s="3"/>
      <c r="C39" s="181" t="s">
        <v>115</v>
      </c>
      <c r="D39" s="107"/>
      <c r="E39" s="331">
        <f>(D15*1000)/2</f>
        <v>728000</v>
      </c>
      <c r="F39" s="332"/>
      <c r="G39" s="333"/>
    </row>
    <row r="40" spans="2:30" s="2" customFormat="1" x14ac:dyDescent="0.25">
      <c r="B40" s="3"/>
      <c r="C40" s="211">
        <f>((D54+E54)+(D57+E57))/2</f>
        <v>393.82</v>
      </c>
      <c r="D40" s="107"/>
      <c r="E40" s="312" t="s">
        <v>112</v>
      </c>
      <c r="F40" s="313"/>
      <c r="G40" s="314"/>
    </row>
    <row r="41" spans="2:30" s="2" customFormat="1" x14ac:dyDescent="0.25">
      <c r="B41" s="3"/>
      <c r="C41" s="181" t="s">
        <v>114</v>
      </c>
      <c r="D41" s="107"/>
      <c r="E41" s="334">
        <f>E39*30%</f>
        <v>218400</v>
      </c>
      <c r="F41" s="335"/>
      <c r="G41" s="336"/>
    </row>
    <row r="42" spans="2:30" s="2" customFormat="1" x14ac:dyDescent="0.25">
      <c r="B42" s="3"/>
      <c r="C42" s="210">
        <f>(D53+E53+D56+E56)/('Прогноза -отпадъци'!F10+'Прогноза -отпадъци'!F16)</f>
        <v>667.60775808883534</v>
      </c>
      <c r="D42" s="107"/>
      <c r="E42" s="224" t="s">
        <v>113</v>
      </c>
      <c r="F42" s="222"/>
      <c r="G42" s="225"/>
    </row>
    <row r="43" spans="2:30" s="2" customFormat="1" x14ac:dyDescent="0.25">
      <c r="B43" s="3"/>
      <c r="C43" s="213" t="s">
        <v>112</v>
      </c>
      <c r="D43" s="107"/>
      <c r="E43" s="322">
        <f>E41/('Прогноза -отпадъци'!D27+'Прогноза -отпадъци'!D33+'Прогноза -отпадъци'!D39)</f>
        <v>33.269860613908143</v>
      </c>
      <c r="F43" s="323"/>
      <c r="G43" s="324"/>
    </row>
    <row r="44" spans="2:30" s="2" customFormat="1" ht="15.75" thickBot="1" x14ac:dyDescent="0.3">
      <c r="B44" s="3"/>
      <c r="C44" s="212">
        <f>C42*30%/2</f>
        <v>100.1411637133253</v>
      </c>
      <c r="D44" s="107"/>
      <c r="E44" s="325"/>
      <c r="F44" s="326"/>
      <c r="G44" s="327"/>
      <c r="L44" s="241">
        <f>E39/('Прогноза -отпадъци'!D10+'Прогноза -отпадъци'!D16)</f>
        <v>274.82068705171764</v>
      </c>
    </row>
    <row r="45" spans="2:30" s="2" customFormat="1" x14ac:dyDescent="0.25">
      <c r="B45" s="3"/>
      <c r="C45" s="315" t="s">
        <v>118</v>
      </c>
      <c r="D45" s="316"/>
      <c r="E45" s="317"/>
      <c r="F45" s="317"/>
      <c r="G45" s="318"/>
      <c r="L45" s="241">
        <f>C44</f>
        <v>100.1411637133253</v>
      </c>
    </row>
    <row r="46" spans="2:30" s="2" customFormat="1" ht="15.75" thickBot="1" x14ac:dyDescent="0.3">
      <c r="B46" s="3"/>
      <c r="C46" s="319">
        <f>C44+E43</f>
        <v>133.41102432723343</v>
      </c>
      <c r="D46" s="320"/>
      <c r="E46" s="320"/>
      <c r="F46" s="320"/>
      <c r="G46" s="321"/>
      <c r="L46" s="241">
        <f>SUM(L44:L45)</f>
        <v>374.96185076504293</v>
      </c>
    </row>
    <row r="47" spans="2:30" s="2" customFormat="1" ht="5.0999999999999996" customHeight="1" x14ac:dyDescent="0.25">
      <c r="B47" s="3"/>
      <c r="C47" s="3"/>
      <c r="D47" s="3"/>
      <c r="E47" s="3"/>
      <c r="F47" s="3"/>
      <c r="G47" s="3"/>
    </row>
    <row r="48" spans="2:30" s="2" customFormat="1" ht="17.25" customHeight="1" x14ac:dyDescent="0.25">
      <c r="C48" s="2">
        <f>C42/2</f>
        <v>333.80387904441767</v>
      </c>
    </row>
    <row r="49" spans="2:30" s="2" customFormat="1" x14ac:dyDescent="0.25">
      <c r="C49" s="208" t="s">
        <v>104</v>
      </c>
      <c r="D49" s="208"/>
      <c r="E49" s="208"/>
      <c r="F49" s="208"/>
    </row>
    <row r="50" spans="2:30" s="2" customFormat="1" x14ac:dyDescent="0.25">
      <c r="C50" s="310" t="s">
        <v>9</v>
      </c>
      <c r="D50" s="311" t="s">
        <v>105</v>
      </c>
      <c r="E50" s="311"/>
      <c r="F50" s="208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  <c r="AA50" s="182"/>
      <c r="AB50" s="182"/>
      <c r="AC50" s="182"/>
    </row>
    <row r="51" spans="2:30" s="2" customFormat="1" x14ac:dyDescent="0.25">
      <c r="C51" s="310"/>
      <c r="D51" s="205" t="s">
        <v>106</v>
      </c>
      <c r="E51" s="205" t="s">
        <v>107</v>
      </c>
      <c r="F51" s="208"/>
    </row>
    <row r="52" spans="2:30" s="2" customFormat="1" x14ac:dyDescent="0.25">
      <c r="C52" s="206" t="s">
        <v>12</v>
      </c>
      <c r="D52" s="205">
        <v>7860</v>
      </c>
      <c r="E52" s="205">
        <v>1475</v>
      </c>
      <c r="F52" s="208" t="s">
        <v>108</v>
      </c>
    </row>
    <row r="53" spans="2:30" s="2" customFormat="1" x14ac:dyDescent="0.25">
      <c r="C53" s="205" t="s">
        <v>109</v>
      </c>
      <c r="D53" s="205">
        <v>998220</v>
      </c>
      <c r="E53" s="205">
        <v>371700</v>
      </c>
      <c r="F53" s="209" t="s">
        <v>110</v>
      </c>
    </row>
    <row r="54" spans="2:30" s="2" customFormat="1" x14ac:dyDescent="0.25">
      <c r="C54" s="205" t="s">
        <v>111</v>
      </c>
      <c r="D54" s="207">
        <f>D53/D52</f>
        <v>127</v>
      </c>
      <c r="E54" s="207">
        <f>E53/E52</f>
        <v>252</v>
      </c>
      <c r="F54" s="208"/>
    </row>
    <row r="55" spans="2:30" s="2" customFormat="1" x14ac:dyDescent="0.25">
      <c r="C55" s="205" t="s">
        <v>10</v>
      </c>
      <c r="D55" s="205">
        <v>1965</v>
      </c>
      <c r="E55" s="205">
        <v>1000</v>
      </c>
      <c r="F55" s="208"/>
    </row>
    <row r="56" spans="2:30" s="2" customFormat="1" x14ac:dyDescent="0.25">
      <c r="C56" s="205" t="s">
        <v>109</v>
      </c>
      <c r="D56" s="205">
        <v>249555</v>
      </c>
      <c r="E56" s="205">
        <v>281640</v>
      </c>
      <c r="F56" s="208"/>
    </row>
    <row r="57" spans="2:30" s="2" customFormat="1" x14ac:dyDescent="0.25">
      <c r="C57" s="205" t="s">
        <v>111</v>
      </c>
      <c r="D57" s="207">
        <f>D56/D55</f>
        <v>127</v>
      </c>
      <c r="E57" s="207">
        <f>E56/E55</f>
        <v>281.64</v>
      </c>
      <c r="F57" s="208"/>
    </row>
    <row r="58" spans="2:30" s="2" customFormat="1" x14ac:dyDescent="0.25"/>
    <row r="59" spans="2:30" s="128" customFormat="1" ht="18.75" x14ac:dyDescent="0.3">
      <c r="C59" s="128" t="s">
        <v>85</v>
      </c>
      <c r="D59" s="128">
        <f>'Приходи-допускания'!D37</f>
        <v>2018</v>
      </c>
      <c r="E59" s="128">
        <f>'Приходи-допускания'!E37</f>
        <v>2019</v>
      </c>
      <c r="F59" s="128">
        <f>'Приходи-допускания'!F37</f>
        <v>2020</v>
      </c>
      <c r="G59" s="128">
        <f>'Приходи-допускания'!G37</f>
        <v>2021</v>
      </c>
      <c r="H59" s="128">
        <f>'Приходи-допускания'!H37</f>
        <v>2022</v>
      </c>
      <c r="I59" s="128">
        <f>'Приходи-допускания'!I37</f>
        <v>2023</v>
      </c>
      <c r="J59" s="128">
        <f>'Приходи-допускания'!J37</f>
        <v>2024</v>
      </c>
      <c r="K59" s="128">
        <f>'Приходи-допускания'!K37</f>
        <v>2025</v>
      </c>
      <c r="L59" s="128">
        <f>'Приходи-допускания'!L37</f>
        <v>2026</v>
      </c>
      <c r="M59" s="128">
        <f>'Приходи-допускания'!M37</f>
        <v>2027</v>
      </c>
      <c r="N59" s="128">
        <f>'Приходи-допускания'!N37</f>
        <v>2028</v>
      </c>
      <c r="O59" s="128">
        <f>'Приходи-допускания'!O37</f>
        <v>2029</v>
      </c>
      <c r="P59" s="128">
        <f>'Приходи-допускания'!P37</f>
        <v>2030</v>
      </c>
      <c r="Q59" s="128">
        <f>'Приходи-допускания'!Q37</f>
        <v>2031</v>
      </c>
      <c r="R59" s="128">
        <f>'Приходи-допускания'!R37</f>
        <v>2032</v>
      </c>
      <c r="S59" s="128">
        <f>'Приходи-допускания'!S37</f>
        <v>2033</v>
      </c>
      <c r="T59" s="128">
        <f>'Приходи-допускания'!T37</f>
        <v>2034</v>
      </c>
      <c r="U59" s="128">
        <f>'Приходи-допускания'!U37</f>
        <v>2035</v>
      </c>
      <c r="V59" s="128">
        <f>'Приходи-допускания'!V37</f>
        <v>2036</v>
      </c>
      <c r="W59" s="128">
        <f>'Приходи-допускания'!W37</f>
        <v>2037</v>
      </c>
      <c r="X59" s="128">
        <f>'Приходи-допускания'!X37</f>
        <v>2038</v>
      </c>
      <c r="Y59" s="128">
        <f>'Приходи-допускания'!Y37</f>
        <v>2039</v>
      </c>
      <c r="Z59" s="128">
        <f>'Приходи-допускания'!Z37</f>
        <v>2040</v>
      </c>
      <c r="AA59" s="128">
        <f>'Приходи-допускания'!AA37</f>
        <v>2041</v>
      </c>
      <c r="AB59" s="128">
        <f>'Приходи-допускания'!AB37</f>
        <v>2042</v>
      </c>
      <c r="AC59" s="128">
        <f>'Приходи-допускания'!AC37</f>
        <v>2043</v>
      </c>
      <c r="AD59" s="128">
        <f t="shared" ref="AD59" si="6">AD53</f>
        <v>0</v>
      </c>
    </row>
    <row r="60" spans="2:30" s="128" customFormat="1" ht="3" customHeight="1" x14ac:dyDescent="0.3">
      <c r="B60" s="129"/>
      <c r="C60" s="129"/>
      <c r="D60" s="129"/>
      <c r="E60" s="129"/>
      <c r="F60" s="129"/>
      <c r="G60" s="129"/>
      <c r="H60" s="129"/>
      <c r="I60" s="129"/>
      <c r="J60" s="129"/>
      <c r="K60" s="129"/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</row>
    <row r="61" spans="2:30" s="2" customFormat="1" x14ac:dyDescent="0.25">
      <c r="B61" s="3"/>
      <c r="C61" s="107" t="str">
        <f>'Приходи-допускания'!C39</f>
        <v>ръст на БВП  (%)</v>
      </c>
      <c r="D61" s="218">
        <f>'Приходи-допускания'!D39</f>
        <v>3.1E-2</v>
      </c>
      <c r="E61" s="218">
        <f>'Приходи-допускания'!E39</f>
        <v>3.4000000000000002E-2</v>
      </c>
      <c r="F61" s="218">
        <f>'Приходи-допускания'!F39</f>
        <v>-2.8999999999999998E-2</v>
      </c>
      <c r="G61" s="218">
        <f>'Приходи-допускания'!G39</f>
        <v>-0.01</v>
      </c>
      <c r="H61" s="218">
        <f>'Приходи-допускания'!H39</f>
        <v>0</v>
      </c>
      <c r="I61" s="218">
        <f>'Приходи-допускания'!I39</f>
        <v>1.4999999999999999E-2</v>
      </c>
      <c r="J61" s="218">
        <f>'Приходи-допускания'!J39</f>
        <v>2.5000000000000001E-2</v>
      </c>
      <c r="K61" s="218">
        <f>'Приходи-допускания'!K39</f>
        <v>3.3000000000000002E-2</v>
      </c>
      <c r="L61" s="218">
        <f>'Приходи-допускания'!L39</f>
        <v>3.3000000000000002E-2</v>
      </c>
      <c r="M61" s="218">
        <f>'Приходи-допускания'!M39</f>
        <v>3.3000000000000002E-2</v>
      </c>
      <c r="N61" s="218">
        <f>'Приходи-допускания'!N39</f>
        <v>3.3000000000000002E-2</v>
      </c>
      <c r="O61" s="218">
        <f>'Приходи-допускания'!O39</f>
        <v>3.3000000000000002E-2</v>
      </c>
      <c r="P61" s="218">
        <f>'Приходи-допускания'!P39</f>
        <v>3.3000000000000002E-2</v>
      </c>
      <c r="Q61" s="218">
        <f>'Приходи-допускания'!Q39</f>
        <v>2.8000000000000001E-2</v>
      </c>
      <c r="R61" s="218">
        <f>'Приходи-допускания'!R39</f>
        <v>2.8000000000000001E-2</v>
      </c>
      <c r="S61" s="218">
        <f>'Приходи-допускания'!S39</f>
        <v>2.8000000000000001E-2</v>
      </c>
      <c r="T61" s="218">
        <f>'Приходи-допускания'!T39</f>
        <v>2.8000000000000001E-2</v>
      </c>
      <c r="U61" s="218">
        <f>'Приходи-допускания'!U39</f>
        <v>2.8000000000000001E-2</v>
      </c>
      <c r="V61" s="218">
        <f>'Приходи-допускания'!V39</f>
        <v>2.8000000000000001E-2</v>
      </c>
      <c r="W61" s="218">
        <f>'Приходи-допускания'!W39</f>
        <v>2.8000000000000001E-2</v>
      </c>
      <c r="X61" s="218">
        <f>'Приходи-допускания'!X39</f>
        <v>2.8000000000000001E-2</v>
      </c>
      <c r="Y61" s="218">
        <f>'Приходи-допускания'!Y39</f>
        <v>2.8000000000000001E-2</v>
      </c>
      <c r="Z61" s="218">
        <f>'Приходи-допускания'!Z39</f>
        <v>2.8000000000000001E-2</v>
      </c>
      <c r="AA61" s="218">
        <f>'Приходи-допускания'!AA39</f>
        <v>2.1999999999999999E-2</v>
      </c>
      <c r="AB61" s="218">
        <f>'Приходи-допускания'!AB39</f>
        <v>2.1999999999999999E-2</v>
      </c>
      <c r="AC61" s="218">
        <f>'Приходи-допускания'!AC39</f>
        <v>2.1999999999999999E-2</v>
      </c>
      <c r="AD61" s="3"/>
    </row>
    <row r="62" spans="2:30" s="2" customFormat="1" x14ac:dyDescent="0.25">
      <c r="B62" s="3"/>
      <c r="C62" s="107" t="str">
        <f>'Приходи-допускания'!C40</f>
        <v>Годишна инфлация (%)</v>
      </c>
      <c r="D62" s="218">
        <f>'Приходи-допускания'!D40</f>
        <v>2.6000000000000002E-2</v>
      </c>
      <c r="E62" s="218">
        <f>'Приходи-допускания'!E40</f>
        <v>1.8000000000000002E-2</v>
      </c>
      <c r="F62" s="218">
        <f>'Приходи-допускания'!F40</f>
        <v>-1.4199999999999999E-2</v>
      </c>
      <c r="G62" s="218">
        <f>'Приходи-допускания'!G40</f>
        <v>-1E-3</v>
      </c>
      <c r="H62" s="218">
        <f>'Приходи-допускания'!H40</f>
        <v>-8.0000000000000002E-3</v>
      </c>
      <c r="I62" s="218">
        <f>'Приходи-допускания'!I40</f>
        <v>2.7999999999999997E-2</v>
      </c>
      <c r="J62" s="218">
        <f>'Приходи-допускания'!J40</f>
        <v>2.6000000000000002E-2</v>
      </c>
      <c r="K62" s="218">
        <f>'Приходи-допускания'!K40</f>
        <v>1.8000000000000002E-2</v>
      </c>
      <c r="L62" s="218">
        <f>'Приходи-допускания'!L40</f>
        <v>1.8000000000000002E-2</v>
      </c>
      <c r="M62" s="218">
        <f>'Приходи-допускания'!M40</f>
        <v>1.8000000000000002E-2</v>
      </c>
      <c r="N62" s="218">
        <f>'Приходи-допускания'!N40</f>
        <v>1.8000000000000002E-2</v>
      </c>
      <c r="O62" s="218">
        <f>'Приходи-допускания'!O40</f>
        <v>1.8000000000000002E-2</v>
      </c>
      <c r="P62" s="218">
        <f>'Приходи-допускания'!P40</f>
        <v>1.8000000000000002E-2</v>
      </c>
      <c r="Q62" s="218">
        <f>'Приходи-допускания'!Q40</f>
        <v>1.4999999999999999E-2</v>
      </c>
      <c r="R62" s="218">
        <f>'Приходи-допускания'!R40</f>
        <v>1.4999999999999999E-2</v>
      </c>
      <c r="S62" s="218">
        <f>'Приходи-допускания'!S40</f>
        <v>1.4999999999999999E-2</v>
      </c>
      <c r="T62" s="218">
        <f>'Приходи-допускания'!T40</f>
        <v>1.4999999999999999E-2</v>
      </c>
      <c r="U62" s="218">
        <f>'Приходи-допускания'!U40</f>
        <v>1.4999999999999999E-2</v>
      </c>
      <c r="V62" s="218">
        <f>'Приходи-допускания'!V40</f>
        <v>1.4999999999999999E-2</v>
      </c>
      <c r="W62" s="218">
        <f>'Приходи-допускания'!W40</f>
        <v>1.4999999999999999E-2</v>
      </c>
      <c r="X62" s="218">
        <f>'Приходи-допускания'!X40</f>
        <v>1.4999999999999999E-2</v>
      </c>
      <c r="Y62" s="218">
        <f>'Приходи-допускания'!Y40</f>
        <v>1.4999999999999999E-2</v>
      </c>
      <c r="Z62" s="218">
        <f>'Приходи-допускания'!Z40</f>
        <v>1.4999999999999999E-2</v>
      </c>
      <c r="AA62" s="218">
        <f>'Приходи-допускания'!AA40</f>
        <v>1.4999999999999999E-2</v>
      </c>
      <c r="AB62" s="218">
        <f>'Приходи-допускания'!AB40</f>
        <v>1.4999999999999999E-2</v>
      </c>
      <c r="AC62" s="218">
        <f>'Приходи-допускания'!AC40</f>
        <v>1.4999999999999999E-2</v>
      </c>
      <c r="AD62" s="3"/>
    </row>
    <row r="63" spans="2:30" s="2" customFormat="1" x14ac:dyDescent="0.25">
      <c r="B63" s="3"/>
      <c r="C63" s="107" t="str">
        <f>'Приходи-допускания'!C41</f>
        <v>Безработица (%)</v>
      </c>
      <c r="D63" s="218">
        <f>'Приходи-допускания'!D41</f>
        <v>4.7E-2</v>
      </c>
      <c r="E63" s="218">
        <f>'Приходи-допускания'!E41</f>
        <v>3.9E-2</v>
      </c>
      <c r="F63" s="218">
        <f>'Приходи-допускания'!F41</f>
        <v>9.8000000000000004E-2</v>
      </c>
      <c r="G63" s="218">
        <f>'Приходи-допускания'!G41</f>
        <v>8.3000000000000004E-2</v>
      </c>
      <c r="H63" s="218">
        <f>'Приходи-допускания'!H41</f>
        <v>6.7000000000000004E-2</v>
      </c>
      <c r="I63" s="218">
        <f>'Приходи-допускания'!I41</f>
        <v>5.7000000000000002E-2</v>
      </c>
      <c r="J63" s="218">
        <f>'Приходи-допускания'!J41</f>
        <v>4.7E-2</v>
      </c>
      <c r="K63" s="218">
        <f>'Приходи-допускания'!K41</f>
        <v>0.04</v>
      </c>
      <c r="L63" s="218">
        <f>'Приходи-допускания'!L41</f>
        <v>0.04</v>
      </c>
      <c r="M63" s="218">
        <f>'Приходи-допускания'!M41</f>
        <v>0.04</v>
      </c>
      <c r="N63" s="218">
        <f>'Приходи-допускания'!N41</f>
        <v>0.04</v>
      </c>
      <c r="O63" s="218">
        <f>'Приходи-допускания'!O41</f>
        <v>0.04</v>
      </c>
      <c r="P63" s="218">
        <f>'Приходи-допускания'!P41</f>
        <v>0.04</v>
      </c>
      <c r="Q63" s="218">
        <f>'Приходи-допускания'!Q41</f>
        <v>0.04</v>
      </c>
      <c r="R63" s="218">
        <f>'Приходи-допускания'!R41</f>
        <v>0.04</v>
      </c>
      <c r="S63" s="218">
        <f>'Приходи-допускания'!S41</f>
        <v>0.04</v>
      </c>
      <c r="T63" s="218">
        <f>'Приходи-допускания'!T41</f>
        <v>0.04</v>
      </c>
      <c r="U63" s="218">
        <f>'Приходи-допускания'!U41</f>
        <v>0.04</v>
      </c>
      <c r="V63" s="218">
        <f>'Приходи-допускания'!V41</f>
        <v>0.04</v>
      </c>
      <c r="W63" s="218">
        <f>'Приходи-допускания'!W41</f>
        <v>0.04</v>
      </c>
      <c r="X63" s="218">
        <f>'Приходи-допускания'!X41</f>
        <v>0.04</v>
      </c>
      <c r="Y63" s="218">
        <f>'Приходи-допускания'!Y41</f>
        <v>0.04</v>
      </c>
      <c r="Z63" s="218">
        <f>'Приходи-допускания'!Z41</f>
        <v>0.04</v>
      </c>
      <c r="AA63" s="218">
        <f>'Приходи-допускания'!AA41</f>
        <v>0.04</v>
      </c>
      <c r="AB63" s="218">
        <f>'Приходи-допускания'!AB41</f>
        <v>0.04</v>
      </c>
      <c r="AC63" s="218">
        <f>'Приходи-допускания'!AC41</f>
        <v>0.04</v>
      </c>
      <c r="AD63" s="3"/>
    </row>
    <row r="64" spans="2:30" s="2" customFormat="1" ht="5.0999999999999996" customHeight="1" x14ac:dyDescent="0.25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</row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</sheetData>
  <mergeCells count="12">
    <mergeCell ref="K38:M38"/>
    <mergeCell ref="E38:G38"/>
    <mergeCell ref="E39:G39"/>
    <mergeCell ref="E41:G41"/>
    <mergeCell ref="C4:G5"/>
    <mergeCell ref="C6:G6"/>
    <mergeCell ref="C50:C51"/>
    <mergeCell ref="D50:E50"/>
    <mergeCell ref="E40:G40"/>
    <mergeCell ref="C45:G45"/>
    <mergeCell ref="C46:G46"/>
    <mergeCell ref="E43:G44"/>
  </mergeCells>
  <hyperlinks>
    <hyperlink ref="F53" r:id="rId1"/>
  </hyperlinks>
  <pageMargins left="0.19685039370078741" right="0.19685039370078741" top="0.98425196850393704" bottom="0.78740157480314965" header="0.19685039370078741" footer="0.19685039370078741"/>
  <pageSetup paperSize="8" scale="63" orientation="landscape" r:id="rId2"/>
  <headerFooter>
    <oddHeader>&amp;C&amp;G</oddHeader>
    <oddFooter>&amp;C&amp;G</oddFooter>
  </headerFooter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32"/>
  <sheetViews>
    <sheetView topLeftCell="A17" workbookViewId="0">
      <selection activeCell="C26" sqref="C26"/>
    </sheetView>
  </sheetViews>
  <sheetFormatPr defaultColWidth="9.28515625" defaultRowHeight="15" x14ac:dyDescent="0.25"/>
  <cols>
    <col min="1" max="1" width="9.28515625" style="194"/>
    <col min="2" max="2" width="30.5703125" style="194" customWidth="1"/>
    <col min="3" max="16384" width="9.28515625" style="194"/>
  </cols>
  <sheetData>
    <row r="3" spans="2:9" s="1" customFormat="1" x14ac:dyDescent="0.25">
      <c r="B3" s="190" t="s">
        <v>85</v>
      </c>
      <c r="C3" s="190">
        <v>2014</v>
      </c>
      <c r="D3" s="190">
        <f>C3+1</f>
        <v>2015</v>
      </c>
      <c r="E3" s="190">
        <f t="shared" ref="E3:H3" si="0">D3+1</f>
        <v>2016</v>
      </c>
      <c r="F3" s="190">
        <f t="shared" si="0"/>
        <v>2017</v>
      </c>
      <c r="G3" s="190">
        <f t="shared" si="0"/>
        <v>2018</v>
      </c>
      <c r="H3" s="190">
        <f t="shared" si="0"/>
        <v>2019</v>
      </c>
      <c r="I3" s="191" t="s">
        <v>86</v>
      </c>
    </row>
    <row r="4" spans="2:9" x14ac:dyDescent="0.25">
      <c r="B4" s="192" t="s">
        <v>87</v>
      </c>
      <c r="C4" s="192">
        <v>7.2</v>
      </c>
      <c r="D4" s="192">
        <v>7.2</v>
      </c>
      <c r="E4" s="192">
        <v>7.1</v>
      </c>
      <c r="F4" s="192">
        <v>7.1</v>
      </c>
      <c r="G4" s="192">
        <v>7</v>
      </c>
      <c r="H4" s="192">
        <v>6.95</v>
      </c>
      <c r="I4" s="193"/>
    </row>
    <row r="5" spans="2:9" x14ac:dyDescent="0.25">
      <c r="B5" s="192" t="s">
        <v>88</v>
      </c>
      <c r="C5" s="195">
        <v>5946</v>
      </c>
      <c r="D5" s="195">
        <v>6384</v>
      </c>
      <c r="E5" s="195">
        <v>6846</v>
      </c>
      <c r="F5" s="195">
        <v>7419</v>
      </c>
      <c r="G5" s="195">
        <v>8012</v>
      </c>
      <c r="H5" s="195">
        <v>8680</v>
      </c>
      <c r="I5" s="196">
        <f>(H5-G5)/G5</f>
        <v>8.3374937593609588E-2</v>
      </c>
    </row>
    <row r="6" spans="2:9" x14ac:dyDescent="0.25">
      <c r="B6" s="192" t="s">
        <v>89</v>
      </c>
      <c r="C6" s="192">
        <v>42.8</v>
      </c>
      <c r="D6" s="192">
        <v>45.7</v>
      </c>
      <c r="E6" s="192">
        <v>48.6</v>
      </c>
      <c r="F6" s="192">
        <v>52.3</v>
      </c>
      <c r="G6" s="192">
        <v>56.1</v>
      </c>
      <c r="H6" s="192">
        <v>60.7</v>
      </c>
      <c r="I6" s="193"/>
    </row>
    <row r="7" spans="2:9" x14ac:dyDescent="0.25">
      <c r="B7" s="192" t="s">
        <v>90</v>
      </c>
      <c r="C7" s="192">
        <v>1.8</v>
      </c>
      <c r="D7" s="192">
        <v>4</v>
      </c>
      <c r="E7" s="192">
        <v>3.8</v>
      </c>
      <c r="F7" s="192">
        <v>3.5</v>
      </c>
      <c r="G7" s="192">
        <v>3.1</v>
      </c>
      <c r="H7" s="192">
        <v>3.4</v>
      </c>
      <c r="I7" s="193"/>
    </row>
    <row r="8" spans="2:9" x14ac:dyDescent="0.25">
      <c r="B8" s="192" t="s">
        <v>91</v>
      </c>
      <c r="C8" s="192">
        <v>10.4</v>
      </c>
      <c r="D8" s="192">
        <v>8</v>
      </c>
      <c r="E8" s="192">
        <v>6.7</v>
      </c>
      <c r="F8" s="192">
        <v>5.7</v>
      </c>
      <c r="G8" s="192">
        <v>4.7</v>
      </c>
      <c r="H8" s="192">
        <v>3.9</v>
      </c>
      <c r="I8" s="193"/>
    </row>
    <row r="9" spans="2:9" x14ac:dyDescent="0.25">
      <c r="B9" s="192" t="s">
        <v>92</v>
      </c>
      <c r="C9" s="192">
        <v>-5.5</v>
      </c>
      <c r="D9" s="192">
        <v>-11.7</v>
      </c>
      <c r="E9" s="192">
        <v>0.1</v>
      </c>
      <c r="F9" s="192">
        <v>1.1000000000000001</v>
      </c>
      <c r="G9" s="192">
        <v>1.8</v>
      </c>
      <c r="H9" s="192">
        <v>-1.1000000000000001</v>
      </c>
      <c r="I9" s="193"/>
    </row>
    <row r="10" spans="2:9" x14ac:dyDescent="0.25">
      <c r="B10" s="197" t="s">
        <v>93</v>
      </c>
      <c r="C10" s="192">
        <v>27.1</v>
      </c>
      <c r="D10" s="192">
        <v>26</v>
      </c>
      <c r="E10" s="192">
        <v>29.3</v>
      </c>
      <c r="F10" s="192">
        <v>25.3</v>
      </c>
      <c r="G10" s="192">
        <v>22.3</v>
      </c>
      <c r="H10" s="192">
        <v>26.3</v>
      </c>
      <c r="I10" s="193"/>
    </row>
    <row r="11" spans="2:9" x14ac:dyDescent="0.25">
      <c r="B11" s="197" t="s">
        <v>94</v>
      </c>
      <c r="C11" s="198">
        <v>-1.42</v>
      </c>
      <c r="D11" s="198">
        <v>-0.1</v>
      </c>
      <c r="E11" s="198">
        <v>-0.8</v>
      </c>
      <c r="F11" s="199">
        <v>2.8</v>
      </c>
      <c r="G11" s="199">
        <v>2.6</v>
      </c>
      <c r="H11" s="198">
        <v>1.8</v>
      </c>
      <c r="I11" s="246">
        <f>SUM(C11:H11)/6</f>
        <v>0.81333333333333335</v>
      </c>
    </row>
    <row r="12" spans="2:9" x14ac:dyDescent="0.25">
      <c r="B12" s="197" t="s">
        <v>95</v>
      </c>
      <c r="C12" s="192">
        <v>1.95583</v>
      </c>
      <c r="D12" s="192">
        <v>1.95583</v>
      </c>
      <c r="E12" s="192">
        <v>1.95583</v>
      </c>
      <c r="F12" s="192">
        <v>1.95583</v>
      </c>
      <c r="G12" s="192">
        <v>1.95583</v>
      </c>
      <c r="H12" s="192">
        <v>1.95583</v>
      </c>
      <c r="I12" s="193"/>
    </row>
    <row r="13" spans="2:9" x14ac:dyDescent="0.25">
      <c r="B13" s="197" t="s">
        <v>96</v>
      </c>
      <c r="C13" s="192">
        <v>-2.8</v>
      </c>
      <c r="D13" s="192">
        <v>-2.6</v>
      </c>
      <c r="E13" s="192">
        <v>-1</v>
      </c>
      <c r="F13" s="192">
        <v>-0.8</v>
      </c>
      <c r="G13" s="192">
        <v>-1.9</v>
      </c>
      <c r="H13" s="192">
        <v>-3.3</v>
      </c>
      <c r="I13" s="193"/>
    </row>
    <row r="14" spans="2:9" x14ac:dyDescent="0.25">
      <c r="B14" s="197" t="s">
        <v>97</v>
      </c>
      <c r="C14" s="192">
        <v>21</v>
      </c>
      <c r="D14" s="192">
        <v>21.9</v>
      </c>
      <c r="E14" s="192">
        <v>23.1</v>
      </c>
      <c r="F14" s="192">
        <v>27</v>
      </c>
      <c r="G14" s="192">
        <v>27.1</v>
      </c>
      <c r="H14" s="192">
        <v>29.9</v>
      </c>
      <c r="I14" s="193"/>
    </row>
    <row r="15" spans="2:9" x14ac:dyDescent="0.25">
      <c r="B15" s="197" t="s">
        <v>98</v>
      </c>
      <c r="C15" s="192">
        <v>23.8</v>
      </c>
      <c r="D15" s="192">
        <v>24.5</v>
      </c>
      <c r="E15" s="192">
        <v>24.1</v>
      </c>
      <c r="F15" s="192">
        <v>27.7</v>
      </c>
      <c r="G15" s="192">
        <v>29.6</v>
      </c>
      <c r="H15" s="192">
        <v>33.200000000000003</v>
      </c>
      <c r="I15" s="193"/>
    </row>
    <row r="16" spans="2:9" x14ac:dyDescent="0.25">
      <c r="B16" s="197" t="s">
        <v>99</v>
      </c>
      <c r="C16" s="192">
        <v>26.97</v>
      </c>
      <c r="D16" s="192">
        <v>26.2</v>
      </c>
      <c r="E16" s="192">
        <v>29.6</v>
      </c>
      <c r="F16" s="192">
        <v>25.6</v>
      </c>
      <c r="G16" s="192">
        <v>23.3</v>
      </c>
      <c r="H16" s="192">
        <v>21.3</v>
      </c>
      <c r="I16" s="193"/>
    </row>
    <row r="17" spans="2:13" x14ac:dyDescent="0.25">
      <c r="B17" s="200"/>
    </row>
    <row r="18" spans="2:13" s="1" customFormat="1" x14ac:dyDescent="0.25">
      <c r="B18" s="190" t="s">
        <v>85</v>
      </c>
      <c r="C18" s="190">
        <v>2020</v>
      </c>
      <c r="D18" s="190">
        <f>C18+1</f>
        <v>2021</v>
      </c>
      <c r="E18" s="190">
        <f t="shared" ref="E18:M18" si="1">D18+1</f>
        <v>2022</v>
      </c>
      <c r="F18" s="190">
        <f t="shared" si="1"/>
        <v>2023</v>
      </c>
      <c r="G18" s="190">
        <f t="shared" si="1"/>
        <v>2024</v>
      </c>
      <c r="H18" s="190">
        <f t="shared" si="1"/>
        <v>2025</v>
      </c>
      <c r="I18" s="190">
        <f t="shared" si="1"/>
        <v>2026</v>
      </c>
      <c r="J18" s="190">
        <f t="shared" si="1"/>
        <v>2027</v>
      </c>
      <c r="K18" s="190">
        <f t="shared" si="1"/>
        <v>2028</v>
      </c>
      <c r="L18" s="190">
        <f t="shared" si="1"/>
        <v>2029</v>
      </c>
      <c r="M18" s="190">
        <f t="shared" si="1"/>
        <v>2030</v>
      </c>
    </row>
    <row r="19" spans="2:13" x14ac:dyDescent="0.25">
      <c r="B19" s="192" t="s">
        <v>87</v>
      </c>
      <c r="C19" s="192">
        <v>6.9</v>
      </c>
      <c r="D19" s="192">
        <f>C19-0.03</f>
        <v>6.87</v>
      </c>
      <c r="E19" s="192">
        <f t="shared" ref="E19:M19" si="2">D19-0.03</f>
        <v>6.84</v>
      </c>
      <c r="F19" s="192">
        <f t="shared" si="2"/>
        <v>6.81</v>
      </c>
      <c r="G19" s="192">
        <f t="shared" si="2"/>
        <v>6.7799999999999994</v>
      </c>
      <c r="H19" s="192">
        <f t="shared" si="2"/>
        <v>6.7499999999999991</v>
      </c>
      <c r="I19" s="192">
        <f t="shared" si="2"/>
        <v>6.7199999999999989</v>
      </c>
      <c r="J19" s="192">
        <f t="shared" si="2"/>
        <v>6.6899999999999986</v>
      </c>
      <c r="K19" s="192">
        <f t="shared" si="2"/>
        <v>6.6599999999999984</v>
      </c>
      <c r="L19" s="192">
        <f t="shared" si="2"/>
        <v>6.6299999999999981</v>
      </c>
      <c r="M19" s="192">
        <f t="shared" si="2"/>
        <v>6.5999999999999979</v>
      </c>
    </row>
    <row r="20" spans="2:13" x14ac:dyDescent="0.25">
      <c r="B20" s="192" t="s">
        <v>88</v>
      </c>
      <c r="C20" s="195">
        <f>H5*(1+1%)</f>
        <v>8766.7999999999993</v>
      </c>
      <c r="D20" s="195">
        <f>C20*(1+1%)</f>
        <v>8854.4679999999989</v>
      </c>
      <c r="E20" s="195">
        <f t="shared" ref="E20:F20" si="3">D20*(1+1%)</f>
        <v>8943.0126799999998</v>
      </c>
      <c r="F20" s="195">
        <f t="shared" si="3"/>
        <v>9032.4428067999997</v>
      </c>
      <c r="G20" s="195">
        <f>F20*(1+$I$5)</f>
        <v>9785.5221621347973</v>
      </c>
      <c r="H20" s="195">
        <f t="shared" ref="H20:M20" si="4">G20*(1+$I$5)</f>
        <v>10601.389461723669</v>
      </c>
      <c r="I20" s="195">
        <f t="shared" si="4"/>
        <v>11485.279646500428</v>
      </c>
      <c r="J20" s="195">
        <f t="shared" si="4"/>
        <v>12442.864120272556</v>
      </c>
      <c r="K20" s="195">
        <f t="shared" si="4"/>
        <v>13480.287139786042</v>
      </c>
      <c r="L20" s="195">
        <f t="shared" si="4"/>
        <v>14604.20523880964</v>
      </c>
      <c r="M20" s="195">
        <f t="shared" si="4"/>
        <v>15821.829939199659</v>
      </c>
    </row>
    <row r="21" spans="2:13" x14ac:dyDescent="0.25">
      <c r="B21" s="192" t="s">
        <v>89</v>
      </c>
      <c r="C21" s="201">
        <f>H6*(1+C22%)</f>
        <v>58.939700000000002</v>
      </c>
      <c r="D21" s="201">
        <f>C21*(1+D22%)</f>
        <v>58.350303000000004</v>
      </c>
      <c r="E21" s="201">
        <f>D21</f>
        <v>58.350303000000004</v>
      </c>
      <c r="F21" s="201">
        <f>E21*(1+F22%)</f>
        <v>59.225557545000001</v>
      </c>
      <c r="G21" s="201">
        <f t="shared" ref="G21:M21" si="5">F21*(1+G22%)</f>
        <v>60.706196483624993</v>
      </c>
      <c r="H21" s="201">
        <f t="shared" si="5"/>
        <v>62.70950096758461</v>
      </c>
      <c r="I21" s="201">
        <f t="shared" si="5"/>
        <v>64.778914499514897</v>
      </c>
      <c r="J21" s="201">
        <f t="shared" si="5"/>
        <v>66.916618677998883</v>
      </c>
      <c r="K21" s="201">
        <f t="shared" si="5"/>
        <v>69.124867094372846</v>
      </c>
      <c r="L21" s="201">
        <f t="shared" si="5"/>
        <v>71.405987708487146</v>
      </c>
      <c r="M21" s="201">
        <f t="shared" si="5"/>
        <v>73.762385302867216</v>
      </c>
    </row>
    <row r="22" spans="2:13" x14ac:dyDescent="0.25">
      <c r="B22" s="192" t="s">
        <v>90</v>
      </c>
      <c r="C22" s="192">
        <v>-2.9</v>
      </c>
      <c r="D22" s="192">
        <v>-1</v>
      </c>
      <c r="E22" s="192">
        <v>0</v>
      </c>
      <c r="F22" s="192">
        <v>1.5</v>
      </c>
      <c r="G22" s="192">
        <v>2.5</v>
      </c>
      <c r="H22" s="192">
        <v>3.3</v>
      </c>
      <c r="I22" s="192">
        <v>3.3</v>
      </c>
      <c r="J22" s="192">
        <v>3.3</v>
      </c>
      <c r="K22" s="192">
        <v>3.3</v>
      </c>
      <c r="L22" s="192">
        <v>3.3</v>
      </c>
      <c r="M22" s="192">
        <v>3.3</v>
      </c>
    </row>
    <row r="23" spans="2:13" x14ac:dyDescent="0.25">
      <c r="B23" s="192" t="s">
        <v>91</v>
      </c>
      <c r="C23" s="192">
        <v>9.8000000000000007</v>
      </c>
      <c r="D23" s="192">
        <v>8.3000000000000007</v>
      </c>
      <c r="E23" s="192">
        <v>6.7</v>
      </c>
      <c r="F23" s="192">
        <v>5.7</v>
      </c>
      <c r="G23" s="192">
        <v>4.7</v>
      </c>
      <c r="H23" s="192">
        <v>4</v>
      </c>
      <c r="I23" s="192">
        <v>4</v>
      </c>
      <c r="J23" s="192">
        <v>4</v>
      </c>
      <c r="K23" s="192">
        <v>4</v>
      </c>
      <c r="L23" s="192">
        <v>4</v>
      </c>
      <c r="M23" s="192">
        <v>4</v>
      </c>
    </row>
    <row r="24" spans="2:13" x14ac:dyDescent="0.25">
      <c r="B24" s="192" t="s">
        <v>92</v>
      </c>
      <c r="C24" s="192">
        <v>-1.1000000000000001</v>
      </c>
      <c r="D24" s="192">
        <v>-0.8</v>
      </c>
      <c r="E24" s="192">
        <v>0.1</v>
      </c>
      <c r="F24" s="192">
        <v>1.1000000000000001</v>
      </c>
      <c r="G24" s="192">
        <v>1.8</v>
      </c>
      <c r="H24" s="192">
        <v>2.1</v>
      </c>
      <c r="I24" s="192">
        <v>2.1</v>
      </c>
      <c r="J24" s="192">
        <v>2.1</v>
      </c>
      <c r="K24" s="192">
        <v>2.1</v>
      </c>
      <c r="L24" s="192">
        <v>2.1</v>
      </c>
      <c r="M24" s="192">
        <v>2.1</v>
      </c>
    </row>
    <row r="25" spans="2:13" x14ac:dyDescent="0.25">
      <c r="B25" s="197" t="s">
        <v>93</v>
      </c>
      <c r="C25" s="192">
        <v>27.3</v>
      </c>
      <c r="D25" s="192">
        <v>26</v>
      </c>
      <c r="E25" s="192">
        <v>24.3</v>
      </c>
      <c r="F25" s="192">
        <v>22.8</v>
      </c>
      <c r="G25" s="192">
        <v>21.3</v>
      </c>
      <c r="H25" s="192">
        <v>20</v>
      </c>
      <c r="I25" s="192">
        <v>20</v>
      </c>
      <c r="J25" s="192">
        <v>20</v>
      </c>
      <c r="K25" s="192">
        <v>20</v>
      </c>
      <c r="L25" s="192">
        <v>20</v>
      </c>
      <c r="M25" s="192">
        <v>20</v>
      </c>
    </row>
    <row r="26" spans="2:13" x14ac:dyDescent="0.25">
      <c r="B26" s="197" t="s">
        <v>94</v>
      </c>
      <c r="C26" s="198">
        <v>-1.42</v>
      </c>
      <c r="D26" s="198">
        <v>-0.1</v>
      </c>
      <c r="E26" s="198">
        <v>-0.8</v>
      </c>
      <c r="F26" s="199">
        <v>2.8</v>
      </c>
      <c r="G26" s="199">
        <v>2.6</v>
      </c>
      <c r="H26" s="198">
        <v>1.8</v>
      </c>
      <c r="I26" s="198">
        <v>1.8</v>
      </c>
      <c r="J26" s="198">
        <v>1.8</v>
      </c>
      <c r="K26" s="198">
        <v>1.8</v>
      </c>
      <c r="L26" s="198">
        <v>1.8</v>
      </c>
      <c r="M26" s="198">
        <v>1.8</v>
      </c>
    </row>
    <row r="27" spans="2:13" x14ac:dyDescent="0.25">
      <c r="B27" s="197" t="s">
        <v>95</v>
      </c>
      <c r="C27" s="192">
        <v>1.95583</v>
      </c>
      <c r="D27" s="192">
        <v>1.95583</v>
      </c>
      <c r="E27" s="192">
        <v>1.95583</v>
      </c>
      <c r="F27" s="192">
        <v>1.95583</v>
      </c>
      <c r="G27" s="192">
        <v>1.95583</v>
      </c>
      <c r="H27" s="192">
        <v>1.95583</v>
      </c>
      <c r="I27" s="192">
        <v>1.95583</v>
      </c>
      <c r="J27" s="192">
        <v>1.95583</v>
      </c>
      <c r="K27" s="192">
        <v>1.95583</v>
      </c>
      <c r="L27" s="192">
        <v>1.95583</v>
      </c>
      <c r="M27" s="192">
        <v>1.95583</v>
      </c>
    </row>
    <row r="28" spans="2:13" x14ac:dyDescent="0.25">
      <c r="B28" s="197" t="s">
        <v>96</v>
      </c>
      <c r="C28" s="202">
        <f t="shared" ref="C28:H28" si="6">C29-C30</f>
        <v>-1.1000000000000014</v>
      </c>
      <c r="D28" s="202">
        <f t="shared" si="6"/>
        <v>-1.3810000000000038</v>
      </c>
      <c r="E28" s="202">
        <f t="shared" si="6"/>
        <v>-2.0230300000000021</v>
      </c>
      <c r="F28" s="202">
        <f t="shared" si="6"/>
        <v>-2.0837209000000065</v>
      </c>
      <c r="G28" s="202">
        <f t="shared" si="6"/>
        <v>-1.8338304370000102</v>
      </c>
      <c r="H28" s="202">
        <f t="shared" si="6"/>
        <v>-1.2390490029100079</v>
      </c>
      <c r="I28" s="202">
        <f>I29-I30</f>
        <v>-0.5939343084373121</v>
      </c>
      <c r="J28" s="202">
        <f t="shared" ref="J28:M28" si="7">J29-J30</f>
        <v>0.10464813509756965</v>
      </c>
      <c r="K28" s="202">
        <f t="shared" si="7"/>
        <v>0.86000807557789472</v>
      </c>
      <c r="L28" s="202">
        <f t="shared" si="7"/>
        <v>1.6756398390940035</v>
      </c>
      <c r="M28" s="202">
        <f t="shared" si="7"/>
        <v>2.5552321315780304</v>
      </c>
    </row>
    <row r="29" spans="2:13" x14ac:dyDescent="0.25">
      <c r="B29" s="197" t="s">
        <v>97</v>
      </c>
      <c r="C29" s="192">
        <v>30</v>
      </c>
      <c r="D29" s="202">
        <f>C29*(1+0.1%)</f>
        <v>30.029999999999998</v>
      </c>
      <c r="E29" s="202">
        <f>D29*(1+1%)</f>
        <v>30.330299999999998</v>
      </c>
      <c r="F29" s="202">
        <f>E29*(1+3%)</f>
        <v>31.240208999999997</v>
      </c>
      <c r="G29" s="202">
        <f>F29*(1+4%)</f>
        <v>32.489817359999996</v>
      </c>
      <c r="H29" s="202">
        <f>G29*(1+5%)</f>
        <v>34.114308227999999</v>
      </c>
      <c r="I29" s="202">
        <f>H29*(1+5%)</f>
        <v>35.820023639399999</v>
      </c>
      <c r="J29" s="202">
        <f>I29*(1+5%)</f>
        <v>37.611024821370002</v>
      </c>
      <c r="K29" s="202">
        <f t="shared" ref="K29:M29" si="8">J29*(1+5%)</f>
        <v>39.491576062438504</v>
      </c>
      <c r="L29" s="202">
        <f t="shared" si="8"/>
        <v>41.466154865560434</v>
      </c>
      <c r="M29" s="202">
        <f t="shared" si="8"/>
        <v>43.539462608838456</v>
      </c>
    </row>
    <row r="30" spans="2:13" x14ac:dyDescent="0.25">
      <c r="B30" s="197" t="s">
        <v>98</v>
      </c>
      <c r="C30" s="192">
        <v>31.1</v>
      </c>
      <c r="D30" s="202">
        <f>C30*(1+1%)</f>
        <v>31.411000000000001</v>
      </c>
      <c r="E30" s="202">
        <f>D30*(1+3%)</f>
        <v>32.35333</v>
      </c>
      <c r="F30" s="202">
        <f t="shared" ref="F30:M30" si="9">E30*(1+3%)</f>
        <v>33.323929900000003</v>
      </c>
      <c r="G30" s="202">
        <f t="shared" si="9"/>
        <v>34.323647797000007</v>
      </c>
      <c r="H30" s="202">
        <f t="shared" si="9"/>
        <v>35.353357230910007</v>
      </c>
      <c r="I30" s="202">
        <f t="shared" si="9"/>
        <v>36.413957947837311</v>
      </c>
      <c r="J30" s="202">
        <f t="shared" si="9"/>
        <v>37.506376686272432</v>
      </c>
      <c r="K30" s="202">
        <f t="shared" si="9"/>
        <v>38.63156798686061</v>
      </c>
      <c r="L30" s="202">
        <f t="shared" si="9"/>
        <v>39.79051502646643</v>
      </c>
      <c r="M30" s="202">
        <f t="shared" si="9"/>
        <v>40.984230477260425</v>
      </c>
    </row>
    <row r="31" spans="2:13" ht="15.75" thickBot="1" x14ac:dyDescent="0.3">
      <c r="B31" s="197" t="s">
        <v>99</v>
      </c>
      <c r="C31" s="192">
        <v>23.7</v>
      </c>
      <c r="D31" s="192">
        <v>23.2</v>
      </c>
      <c r="E31" s="192">
        <v>22.6</v>
      </c>
      <c r="F31" s="192">
        <v>21.6</v>
      </c>
      <c r="G31" s="192">
        <v>20.8</v>
      </c>
      <c r="H31" s="192">
        <v>20</v>
      </c>
      <c r="I31" s="192">
        <v>20</v>
      </c>
      <c r="J31" s="192">
        <v>20</v>
      </c>
      <c r="K31" s="192">
        <v>20</v>
      </c>
      <c r="L31" s="192">
        <v>20</v>
      </c>
      <c r="M31" s="192">
        <v>20</v>
      </c>
    </row>
    <row r="32" spans="2:13" x14ac:dyDescent="0.25">
      <c r="B32" s="203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11" sqref="C11"/>
    </sheetView>
  </sheetViews>
  <sheetFormatPr defaultRowHeight="15" x14ac:dyDescent="0.25"/>
  <cols>
    <col min="2" max="2" width="28" customWidth="1"/>
  </cols>
  <sheetData>
    <row r="2" spans="2:4" x14ac:dyDescent="0.25">
      <c r="B2" t="s">
        <v>140</v>
      </c>
    </row>
    <row r="4" spans="2:4" x14ac:dyDescent="0.25">
      <c r="B4" s="16" t="s">
        <v>136</v>
      </c>
      <c r="C4" s="247">
        <v>0</v>
      </c>
    </row>
    <row r="5" spans="2:4" x14ac:dyDescent="0.25">
      <c r="B5" s="16" t="s">
        <v>137</v>
      </c>
      <c r="C5" s="248">
        <v>1.6E-2</v>
      </c>
    </row>
    <row r="6" spans="2:4" x14ac:dyDescent="0.25">
      <c r="B6" s="16" t="s">
        <v>138</v>
      </c>
      <c r="C6" s="248">
        <v>4.1000000000000003E-3</v>
      </c>
    </row>
    <row r="7" spans="2:4" x14ac:dyDescent="0.25">
      <c r="B7" s="16" t="s">
        <v>139</v>
      </c>
      <c r="C7" s="248">
        <v>7.4000000000000003E-3</v>
      </c>
    </row>
    <row r="8" spans="2:4" x14ac:dyDescent="0.25">
      <c r="B8" s="16" t="s">
        <v>144</v>
      </c>
      <c r="C8" s="248">
        <v>0.01</v>
      </c>
    </row>
    <row r="9" spans="2:4" x14ac:dyDescent="0.25">
      <c r="B9" s="190" t="s">
        <v>141</v>
      </c>
      <c r="C9" s="249">
        <f>AVERAGE(C5:C8)</f>
        <v>9.3749999999999997E-3</v>
      </c>
      <c r="D9" t="s">
        <v>143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Инвестиции ОРГО</vt:lpstr>
      <vt:lpstr>Прогноза -отпадъци</vt:lpstr>
      <vt:lpstr>Финансов анализ</vt:lpstr>
      <vt:lpstr>Приходи-допускания</vt:lpstr>
      <vt:lpstr>Разходи-допускания</vt:lpstr>
      <vt:lpstr>Макро-индикатори</vt:lpstr>
      <vt:lpstr>Дисконтов фактор</vt:lpstr>
      <vt:lpstr>'Приходи-допускания'!Print_Area</vt:lpstr>
      <vt:lpstr>'Прогноза -отпадъци'!Print_Area</vt:lpstr>
      <vt:lpstr>'Разходи-допускания'!Print_Area</vt:lpstr>
      <vt:lpstr>'Финансов анализ'!Print_Area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Borislava Stoilova</dc:creator>
  <cp:lastModifiedBy>Borislava Stoilova</cp:lastModifiedBy>
  <dcterms:created xsi:type="dcterms:W3CDTF">2020-05-27T13:59:25Z</dcterms:created>
  <dcterms:modified xsi:type="dcterms:W3CDTF">2020-08-13T10:04:01Z</dcterms:modified>
</cp:coreProperties>
</file>